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16" windowWidth="15195" windowHeight="8670" activeTab="0"/>
  </bookViews>
  <sheets>
    <sheet name="説明" sheetId="1" r:id="rId1"/>
    <sheet name="日額" sheetId="2" r:id="rId2"/>
    <sheet name="月額" sheetId="3" r:id="rId3"/>
    <sheet name="スクール" sheetId="4" r:id="rId4"/>
    <sheet name="税額表" sheetId="5" r:id="rId5"/>
    <sheet name="月額通勤費税額表" sheetId="6" r:id="rId6"/>
    <sheet name="非課税額" sheetId="7" r:id="rId7"/>
  </sheets>
  <definedNames>
    <definedName name="_xlnm.Print_Area" localSheetId="3">'スクール'!$AE$3:$AV$112</definedName>
    <definedName name="_xlnm.Print_Area" localSheetId="2">'月額'!$AC$3:$AT$117</definedName>
    <definedName name="_xlnm.Print_Area" localSheetId="1">'日額'!$AE$3:$AV$112</definedName>
  </definedNames>
  <calcPr fullCalcOnLoad="1"/>
</workbook>
</file>

<file path=xl/comments2.xml><?xml version="1.0" encoding="utf-8"?>
<comments xmlns="http://schemas.openxmlformats.org/spreadsheetml/2006/main">
  <authors>
    <author>user</author>
    <author>福岡県</author>
  </authors>
  <commentList>
    <comment ref="AI4" authorId="0">
      <text>
        <r>
          <rPr>
            <b/>
            <sz val="16"/>
            <rFont val="ＭＳ Ｐゴシック"/>
            <family val="3"/>
          </rPr>
          <t>支給月を入力
（実績月ではない）</t>
        </r>
        <r>
          <rPr>
            <b/>
            <sz val="9"/>
            <rFont val="ＭＳ Ｐゴシック"/>
            <family val="3"/>
          </rPr>
          <t xml:space="preserve">
</t>
        </r>
      </text>
    </comment>
    <comment ref="AO14" authorId="1">
      <text>
        <r>
          <rPr>
            <b/>
            <sz val="14"/>
            <rFont val="ＭＳ Ｐゴシック"/>
            <family val="3"/>
          </rPr>
          <t>雇用保険料の当月分以外の遡及分等は直接入力</t>
        </r>
      </text>
    </comment>
    <comment ref="P4" authorId="1">
      <text>
        <r>
          <rPr>
            <b/>
            <sz val="10"/>
            <color indexed="10"/>
            <rFont val="ＭＳ Ｐゴシック"/>
            <family val="3"/>
          </rPr>
          <t>※必ず教育委員会等に年間時数を確認すること</t>
        </r>
      </text>
    </comment>
  </commentList>
</comments>
</file>

<file path=xl/comments3.xml><?xml version="1.0" encoding="utf-8"?>
<comments xmlns="http://schemas.openxmlformats.org/spreadsheetml/2006/main">
  <authors>
    <author>user</author>
    <author>福岡県</author>
  </authors>
  <commentList>
    <comment ref="AG4" authorId="0">
      <text>
        <r>
          <rPr>
            <b/>
            <sz val="16"/>
            <rFont val="ＭＳ Ｐゴシック"/>
            <family val="3"/>
          </rPr>
          <t xml:space="preserve">支給月を入力
</t>
        </r>
      </text>
    </comment>
    <comment ref="AM14" authorId="1">
      <text>
        <r>
          <rPr>
            <b/>
            <sz val="14"/>
            <rFont val="ＭＳ Ｐゴシック"/>
            <family val="3"/>
          </rPr>
          <t>雇用保険料の当月分以外の遡及分等は直接入力</t>
        </r>
      </text>
    </comment>
    <comment ref="AM15" authorId="1">
      <text>
        <r>
          <rPr>
            <b/>
            <sz val="14"/>
            <rFont val="ＭＳ Ｐゴシック"/>
            <family val="3"/>
          </rPr>
          <t>社会保険適用対象者は保険料を直接入力</t>
        </r>
      </text>
    </comment>
  </commentList>
</comments>
</file>

<file path=xl/comments4.xml><?xml version="1.0" encoding="utf-8"?>
<comments xmlns="http://schemas.openxmlformats.org/spreadsheetml/2006/main">
  <authors>
    <author>user</author>
    <author>福岡県</author>
  </authors>
  <commentList>
    <comment ref="AI4" authorId="0">
      <text>
        <r>
          <rPr>
            <b/>
            <sz val="16"/>
            <rFont val="ＭＳ Ｐゴシック"/>
            <family val="3"/>
          </rPr>
          <t>支給月を入力
（実績月ではない）</t>
        </r>
      </text>
    </comment>
    <comment ref="P4" authorId="1">
      <text>
        <r>
          <rPr>
            <b/>
            <sz val="10"/>
            <color indexed="10"/>
            <rFont val="ＭＳ Ｐゴシック"/>
            <family val="3"/>
          </rPr>
          <t>※必ず教育委員会等に年間時数を確認すること</t>
        </r>
      </text>
    </comment>
  </commentList>
</comments>
</file>

<file path=xl/sharedStrings.xml><?xml version="1.0" encoding="utf-8"?>
<sst xmlns="http://schemas.openxmlformats.org/spreadsheetml/2006/main" count="1348" uniqueCount="273">
  <si>
    <t>平成</t>
  </si>
  <si>
    <t>年</t>
  </si>
  <si>
    <t>月分</t>
  </si>
  <si>
    <t>臨時職員等支給調書</t>
  </si>
  <si>
    <t>資金前渡員</t>
  </si>
  <si>
    <t>に支払を終わりましたので証明します。</t>
  </si>
  <si>
    <t>課(廨)長</t>
  </si>
  <si>
    <t>出納長</t>
  </si>
  <si>
    <t>(出納員)</t>
  </si>
  <si>
    <t>職名</t>
  </si>
  <si>
    <t>支給額</t>
  </si>
  <si>
    <t>所得税</t>
  </si>
  <si>
    <t>受領印</t>
  </si>
  <si>
    <t>氏　　名</t>
  </si>
  <si>
    <t>賃　金</t>
  </si>
  <si>
    <t>報　酬</t>
  </si>
  <si>
    <t>合　計</t>
  </si>
  <si>
    <t>摘　要</t>
  </si>
  <si>
    <t>現　金</t>
  </si>
  <si>
    <t>～</t>
  </si>
  <si>
    <t>任用事由</t>
  </si>
  <si>
    <t>控   除   額</t>
  </si>
  <si>
    <t xml:space="preserve">  年      月      日</t>
  </si>
  <si>
    <t xml:space="preserve">       支払を終わったこと</t>
  </si>
  <si>
    <t xml:space="preserve">       を証明する。</t>
  </si>
  <si>
    <t xml:space="preserve">  </t>
  </si>
  <si>
    <t>年     月     日</t>
  </si>
  <si>
    <t xml:space="preserve">      年    月    日</t>
  </si>
  <si>
    <t xml:space="preserve">     確認する。</t>
  </si>
  <si>
    <t xml:space="preserve"> No.1 </t>
  </si>
  <si>
    <t>この調書(１通)に記載のとおり各職員</t>
  </si>
  <si>
    <t>学校名</t>
  </si>
  <si>
    <t>学校番号</t>
  </si>
  <si>
    <t>氏 名</t>
  </si>
  <si>
    <t>報酬</t>
  </si>
  <si>
    <t>合計</t>
  </si>
  <si>
    <t>現金支給額</t>
  </si>
  <si>
    <t>賃金</t>
  </si>
  <si>
    <t>摘要</t>
  </si>
  <si>
    <t>合　　計</t>
  </si>
  <si>
    <t>通勤費相当額</t>
  </si>
  <si>
    <t>報酬月額</t>
  </si>
  <si>
    <t>報酬額算出式</t>
  </si>
  <si>
    <t>支給調書は「学校用」、「事務所提出用」、「本人交付用」の３部が印刷できる</t>
  </si>
  <si>
    <t>所得税は自動計算される</t>
  </si>
  <si>
    <t>印刷方法</t>
  </si>
  <si>
    <t>報酬単価</t>
  </si>
  <si>
    <t>～</t>
  </si>
  <si>
    <t xml:space="preserve">  </t>
  </si>
  <si>
    <t xml:space="preserve"> No.1 </t>
  </si>
  <si>
    <t xml:space="preserve"> No.1 </t>
  </si>
  <si>
    <t>「日額」・「月額」・「ｽｸｰﾙｶｳﾝｾﾗｰ」のシートを選択する</t>
  </si>
  <si>
    <t>入力が終了したらプリンター(印刷)のアイコンをクリックする</t>
  </si>
  <si>
    <t>行橋小学校</t>
  </si>
  <si>
    <t>行橋南小学校</t>
  </si>
  <si>
    <t>椿市小学校</t>
  </si>
  <si>
    <t>稗田小学校</t>
  </si>
  <si>
    <t>延永小学校</t>
  </si>
  <si>
    <t>今川小学校</t>
  </si>
  <si>
    <t>泉小学校</t>
  </si>
  <si>
    <t>今元小学校</t>
  </si>
  <si>
    <t>蓑島小学校</t>
  </si>
  <si>
    <t>仲津小学校</t>
  </si>
  <si>
    <t>行橋北小学校</t>
  </si>
  <si>
    <t>苅田小学校</t>
  </si>
  <si>
    <t>馬場小学校</t>
  </si>
  <si>
    <t>南原小学校</t>
  </si>
  <si>
    <t>与原小学校</t>
  </si>
  <si>
    <t>片島小学校</t>
  </si>
  <si>
    <t>白川小学校</t>
  </si>
  <si>
    <t>諌山小学校</t>
  </si>
  <si>
    <t>久保小学校</t>
  </si>
  <si>
    <t>黒田小学校</t>
  </si>
  <si>
    <t>祓郷小学校</t>
  </si>
  <si>
    <t>豊津小学校</t>
  </si>
  <si>
    <t>節丸小学校</t>
  </si>
  <si>
    <t>犀川小学校</t>
  </si>
  <si>
    <t>柳瀬小学校</t>
  </si>
  <si>
    <t>上高屋小学校</t>
  </si>
  <si>
    <t>城井小学校</t>
  </si>
  <si>
    <t>伊良原小学校</t>
  </si>
  <si>
    <t>八屋小学校</t>
  </si>
  <si>
    <t>大村小学校</t>
  </si>
  <si>
    <t>宇島小学校</t>
  </si>
  <si>
    <t>角田小学校</t>
  </si>
  <si>
    <t>山田小学校</t>
  </si>
  <si>
    <t>千束小学校</t>
  </si>
  <si>
    <t>三毛門小学校</t>
  </si>
  <si>
    <t>黒土小学校</t>
  </si>
  <si>
    <t>横武小学校</t>
  </si>
  <si>
    <t>合岩小学校</t>
  </si>
  <si>
    <t>椎田小学校</t>
  </si>
  <si>
    <t>八津田小学校</t>
  </si>
  <si>
    <t>葛城小学校</t>
  </si>
  <si>
    <t>西角田小学校</t>
  </si>
  <si>
    <t>小原小学校</t>
  </si>
  <si>
    <t>築城小学校</t>
  </si>
  <si>
    <t>下城井小学校</t>
  </si>
  <si>
    <t>上城井小学校</t>
  </si>
  <si>
    <t>友枝小学校</t>
  </si>
  <si>
    <t>唐原小学校</t>
  </si>
  <si>
    <t>南吉富小学校</t>
  </si>
  <si>
    <t>西吉富小学校</t>
  </si>
  <si>
    <t>吉富小学校</t>
  </si>
  <si>
    <t>行橋中学校</t>
  </si>
  <si>
    <t>中京中学校</t>
  </si>
  <si>
    <t>泉中学校</t>
  </si>
  <si>
    <t>今元中学校</t>
  </si>
  <si>
    <t>仲津中学校</t>
  </si>
  <si>
    <t>長峡中学校</t>
  </si>
  <si>
    <t>苅田中学校</t>
  </si>
  <si>
    <t>新津中学校</t>
  </si>
  <si>
    <t>勝山中学校</t>
  </si>
  <si>
    <t>豊津中学校</t>
  </si>
  <si>
    <t>犀川中学校</t>
  </si>
  <si>
    <t>伊良原中学校</t>
  </si>
  <si>
    <t>八屋中学校</t>
  </si>
  <si>
    <t>角田中学校</t>
  </si>
  <si>
    <t>千束中学校</t>
  </si>
  <si>
    <t>合岩中学校</t>
  </si>
  <si>
    <t>椎田中学校</t>
  </si>
  <si>
    <t>築城中学校</t>
  </si>
  <si>
    <t>吉富中学校</t>
  </si>
  <si>
    <t>入力箇所は</t>
  </si>
  <si>
    <t>部分</t>
  </si>
  <si>
    <t>実績月</t>
  </si>
  <si>
    <t>予算額</t>
  </si>
  <si>
    <t>日数</t>
  </si>
  <si>
    <t>通勤費</t>
  </si>
  <si>
    <t>支給対象者数</t>
  </si>
  <si>
    <t>時数</t>
  </si>
  <si>
    <t>通勤計</t>
  </si>
  <si>
    <t>執行済計</t>
  </si>
  <si>
    <t>予算</t>
  </si>
  <si>
    <t>予算残</t>
  </si>
  <si>
    <t>週時数</t>
  </si>
  <si>
    <t>氏　名</t>
  </si>
  <si>
    <t>執行残額</t>
  </si>
  <si>
    <t>執行済額</t>
  </si>
  <si>
    <t>残時数</t>
  </si>
  <si>
    <t>済時数</t>
  </si>
  <si>
    <t>年時数</t>
  </si>
  <si>
    <t>講師ＮO</t>
  </si>
  <si>
    <t>発令期間①</t>
  </si>
  <si>
    <t>発令期間②</t>
  </si>
  <si>
    <t>発令期間③</t>
  </si>
  <si>
    <t>～</t>
  </si>
  <si>
    <t>～</t>
  </si>
  <si>
    <t>～</t>
  </si>
  <si>
    <t>執行済計</t>
  </si>
  <si>
    <t>通勤支給1</t>
  </si>
  <si>
    <t>実日数</t>
  </si>
  <si>
    <t>総日数</t>
  </si>
  <si>
    <t>入力は黄色のセルです</t>
  </si>
  <si>
    <t>←通勤費が支給可能である月は１を入力</t>
  </si>
  <si>
    <t>講師Ｎｏ.1</t>
  </si>
  <si>
    <t>講師Ｎｏ.2</t>
  </si>
  <si>
    <t>講師Ｎｏ.3</t>
  </si>
  <si>
    <t>講師Ｎｏ.4</t>
  </si>
  <si>
    <t>講師Ｎｏ.5</t>
  </si>
  <si>
    <t>通勤月額</t>
  </si>
  <si>
    <t>・ｽｸｰﾙｶｳﾝｾﾗｰの場合は単価を資格により入力する</t>
  </si>
  <si>
    <t>・通勤費を支給する月については「通勤費支給１」の欄に１を入力する</t>
  </si>
  <si>
    <t>・セルNo(AD1)に支給対象者数、セルNo(AI1)に発令期間Noを入力する</t>
  </si>
  <si>
    <t>発令期間</t>
  </si>
  <si>
    <t>例月の入力</t>
  </si>
  <si>
    <t>・○年、○月分を入力する</t>
  </si>
  <si>
    <t>・実績時数、日数等を入力する（月額発令者は発令期間内勤務すべき日数／その月の総勤務すべき日数）</t>
  </si>
  <si>
    <t>帳票出力等がうまくいかない例があれば連絡してください</t>
  </si>
  <si>
    <t>・社会保険料の控除が必要な場合は、調書の黄色部分に直接入力する</t>
  </si>
  <si>
    <t>非常勤</t>
  </si>
  <si>
    <t>講　師</t>
  </si>
  <si>
    <t/>
  </si>
  <si>
    <t>×</t>
  </si>
  <si>
    <t>行橋小学校</t>
  </si>
  <si>
    <t>平成</t>
  </si>
  <si>
    <t>年</t>
  </si>
  <si>
    <t>月分</t>
  </si>
  <si>
    <t>臨時職員等支給調書</t>
  </si>
  <si>
    <t>この調書(１通)に記載のとおり各職員</t>
  </si>
  <si>
    <t>資金前渡員</t>
  </si>
  <si>
    <t xml:space="preserve">       支払を終わったこと</t>
  </si>
  <si>
    <t>課(廨)長</t>
  </si>
  <si>
    <t xml:space="preserve">     確認する。</t>
  </si>
  <si>
    <t>出納長</t>
  </si>
  <si>
    <t>に支払を終わりましたので証明します。</t>
  </si>
  <si>
    <t xml:space="preserve">       を証明する。</t>
  </si>
  <si>
    <t>(出納員)</t>
  </si>
  <si>
    <t xml:space="preserve">  年      月      日</t>
  </si>
  <si>
    <t xml:space="preserve">  </t>
  </si>
  <si>
    <t>年     月     日</t>
  </si>
  <si>
    <t xml:space="preserve">      年    月    日</t>
  </si>
  <si>
    <t>職名</t>
  </si>
  <si>
    <t>氏　　名</t>
  </si>
  <si>
    <t>支給額</t>
  </si>
  <si>
    <t>控   除   額</t>
  </si>
  <si>
    <t>現　金</t>
  </si>
  <si>
    <t>受領印</t>
  </si>
  <si>
    <t>摘　要</t>
  </si>
  <si>
    <t>賃　金</t>
  </si>
  <si>
    <t>報　酬</t>
  </si>
  <si>
    <t>合　計</t>
  </si>
  <si>
    <t>所得税</t>
  </si>
  <si>
    <t>合　　計</t>
  </si>
  <si>
    <t>学校番号</t>
  </si>
  <si>
    <t>学校名</t>
  </si>
  <si>
    <t>氏 名</t>
  </si>
  <si>
    <t>賃金</t>
  </si>
  <si>
    <t>報酬</t>
  </si>
  <si>
    <t>合計</t>
  </si>
  <si>
    <t>現金支給額</t>
  </si>
  <si>
    <t>摘要</t>
  </si>
  <si>
    <t>通勤費相当額</t>
  </si>
  <si>
    <t>報酬額算出式</t>
  </si>
  <si>
    <t>まで</t>
  </si>
  <si>
    <t xml:space="preserve"> 発令期間</t>
  </si>
  <si>
    <t>通勤15km以上の人は非課税限度額</t>
  </si>
  <si>
    <t>別表第１</t>
  </si>
  <si>
    <t>自動車等の使用距離（片道）</t>
  </si>
  <si>
    <t>月　　　　額</t>
  </si>
  <si>
    <t>自動車その他の原動機付の交通用具</t>
  </si>
  <si>
    <t>自転車</t>
  </si>
  <si>
    <t>２キロメートル未満</t>
  </si>
  <si>
    <t>円</t>
  </si>
  <si>
    <t>－</t>
  </si>
  <si>
    <t>キロメートル以上</t>
  </si>
  <si>
    <t>キロメートル未満</t>
  </si>
  <si>
    <t>備考　１　この表は、報酬が月額で発令される職員に適用する。</t>
  </si>
  <si>
    <t>　　　　２　週の全日数を勤務する職員はこの表の額とし、週の全日数を勤務する職員でない場合は、</t>
  </si>
  <si>
    <t>　　　　　この表の額にその者の週当たり勤務日数を乗じ、５日で除した額とする。</t>
  </si>
  <si>
    <t>　　　　３　自動車その他の原動機付の交通用具に係る６０キロメートル以上の距離については、</t>
  </si>
  <si>
    <t>　　　　　２キロメートルにつき１，２００円を３３，６３０円に加算した額とする。</t>
  </si>
  <si>
    <t>　　　　４　自転車に係る４０キロメートル以上の距離については、２キロメートルにつき７００円を</t>
  </si>
  <si>
    <t>通勤費課税額</t>
  </si>
  <si>
    <t>学力アップ</t>
  </si>
  <si>
    <t>その他</t>
  </si>
  <si>
    <t>・複数校勤務で社会保険又は雇用保険適用者はどの学校分で控除するか別途連絡します。</t>
  </si>
  <si>
    <t>　（通勤費で課税額が生じる月があった場合も別途連絡します）</t>
  </si>
  <si>
    <t>病代</t>
  </si>
  <si>
    <t>雇用保険</t>
  </si>
  <si>
    <t>○</t>
  </si>
  <si>
    <t>・雇用保険料の控除が必要な場合は、調書の黄色部分に○を入力する</t>
  </si>
  <si>
    <t>・雇用保険料の控除が必要な場合（当月分以外の遡及分等）は、調書の黄色部分に直接入力する</t>
  </si>
  <si>
    <t>臨時職員等支給調書の入力方法(H２２・５・１２改訂）</t>
  </si>
  <si>
    <t>上毛中学校</t>
  </si>
  <si>
    <t>Ｈ２５．１～</t>
  </si>
  <si>
    <t>雇用保険料</t>
  </si>
  <si>
    <t>S C</t>
  </si>
  <si>
    <t>SSW</t>
  </si>
  <si>
    <t>通勤費に係る非課税限度額</t>
  </si>
  <si>
    <t>自動車・自転車使用者</t>
  </si>
  <si>
    <t>２ｋｍ以上１０ｋｍ未満</t>
  </si>
  <si>
    <t>１０ｋｍ以上１５ｋｍ未満</t>
  </si>
  <si>
    <t>１５ｋｍ以上２５ｋｍ未満</t>
  </si>
  <si>
    <t>２５ｋｍ以上３５ｋｍ未満</t>
  </si>
  <si>
    <t>３５ｋｍ以上４５ｋｍ未満</t>
  </si>
  <si>
    <t>４５ｋｍ以上５５ｋｍ未満</t>
  </si>
  <si>
    <t>５５ｋｍ以上</t>
  </si>
  <si>
    <t>通勤距離片道ｋｍ数</t>
  </si>
  <si>
    <t>非課税額</t>
  </si>
  <si>
    <t>4,200円</t>
  </si>
  <si>
    <t>7,100円</t>
  </si>
  <si>
    <t>12,900円</t>
  </si>
  <si>
    <t>18,700円</t>
  </si>
  <si>
    <t>24.400円</t>
  </si>
  <si>
    <t>28,000円</t>
  </si>
  <si>
    <t>31,600円</t>
  </si>
  <si>
    <t>※「非課税額」シート参照</t>
  </si>
  <si>
    <t>　　　　　２０，３４０円に加算した額とする。</t>
  </si>
  <si>
    <t>京築　太郎</t>
  </si>
  <si>
    <t>福岡　次郎</t>
  </si>
  <si>
    <t>・学校番号、氏名、週時数、年時数、通勤費、任用事由、発令期間等を入力する</t>
  </si>
  <si>
    <t>　※必ず年間時数（総時数）を確認し、年時数欄に直接入力してください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</si>
</sst>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411]ggge&quot;年&quot;m&quot;月&quot;d&quot;日&quot;\(aaa\)"/>
    <numFmt numFmtId="185" formatCode="mmm\-yyyy"/>
    <numFmt numFmtId="186" formatCode="@&quot;日&quot;"/>
    <numFmt numFmtId="187" formatCode="@&quot;時間&quot;"/>
    <numFmt numFmtId="188" formatCode="&quot;報酬単価&quot;@&quot;円&quot;"/>
    <numFmt numFmtId="189" formatCode="@&quot;円&quot;"/>
    <numFmt numFmtId="190" formatCode="?&quot;円&quot;"/>
    <numFmt numFmtId="191" formatCode="#&quot;円&quot;"/>
    <numFmt numFmtId="192" formatCode="?&quot; 円&quot;"/>
    <numFmt numFmtId="193" formatCode="@&quot; 時間&quot;"/>
    <numFmt numFmtId="194" formatCode="&quot;報酬単価 &quot;@&quot; 円&quot;"/>
    <numFmt numFmtId="195" formatCode="0_);[Red]\(0\)"/>
    <numFmt numFmtId="196" formatCode="m/d;@"/>
    <numFmt numFmtId="197" formatCode="0_ "/>
    <numFmt numFmtId="198" formatCode="?&quot;日&quot;"/>
    <numFmt numFmtId="199" formatCode="?&quot;時間&quot;"/>
    <numFmt numFmtId="200" formatCode="&quot;報酬月額 &quot;@&quot; 円&quot;"/>
    <numFmt numFmtId="201" formatCode="#,##0_);[Red]\(#,##0\)"/>
    <numFmt numFmtId="202" formatCode="#,##0_ "/>
    <numFmt numFmtId="203" formatCode="?&quot;～&quot;"/>
    <numFmt numFmtId="204" formatCode="\a\a&quot;～&quot;"/>
    <numFmt numFmtId="205" formatCode="[$-411]ge\.m\.d;@"/>
    <numFmt numFmtId="206" formatCode="?&quot;月分&quot;"/>
  </numFmts>
  <fonts count="64">
    <font>
      <sz val="10"/>
      <name val="ＭＳ 明朝"/>
      <family val="1"/>
    </font>
    <font>
      <sz val="6"/>
      <name val="ＭＳ 明朝"/>
      <family val="1"/>
    </font>
    <font>
      <sz val="12"/>
      <name val="ＭＳ 明朝"/>
      <family val="1"/>
    </font>
    <font>
      <u val="single"/>
      <sz val="10"/>
      <name val="ＭＳ 明朝"/>
      <family val="1"/>
    </font>
    <font>
      <sz val="8"/>
      <name val="ＭＳ 明朝"/>
      <family val="1"/>
    </font>
    <font>
      <sz val="7"/>
      <name val="ＭＳ 明朝"/>
      <family val="1"/>
    </font>
    <font>
      <b/>
      <sz val="12"/>
      <name val="ＭＳ ゴシック"/>
      <family val="3"/>
    </font>
    <font>
      <b/>
      <sz val="10"/>
      <name val="ＭＳ ゴシック"/>
      <family val="3"/>
    </font>
    <font>
      <sz val="14"/>
      <name val="ＭＳ 明朝"/>
      <family val="1"/>
    </font>
    <font>
      <sz val="16"/>
      <name val="ＭＳ 明朝"/>
      <family val="1"/>
    </font>
    <font>
      <b/>
      <sz val="14"/>
      <name val="ＭＳ ゴシック"/>
      <family val="3"/>
    </font>
    <font>
      <b/>
      <sz val="16"/>
      <name val="HG創英角ｺﾞｼｯｸUB"/>
      <family val="3"/>
    </font>
    <font>
      <sz val="16"/>
      <name val="HG創英角ｺﾞｼｯｸUB"/>
      <family val="3"/>
    </font>
    <font>
      <sz val="12"/>
      <name val="ＭＳ ゴシック"/>
      <family val="3"/>
    </font>
    <font>
      <sz val="14"/>
      <name val="ＭＳ ゴシック"/>
      <family val="3"/>
    </font>
    <font>
      <b/>
      <sz val="20"/>
      <name val="HG創英角ｺﾞｼｯｸUB"/>
      <family val="3"/>
    </font>
    <font>
      <sz val="14"/>
      <name val="HG創英角ﾎﾟｯﾌﾟ体"/>
      <family val="3"/>
    </font>
    <font>
      <b/>
      <sz val="16"/>
      <name val="ＭＳ ゴシック"/>
      <family val="3"/>
    </font>
    <font>
      <b/>
      <sz val="16"/>
      <name val="ＭＳ 明朝"/>
      <family val="1"/>
    </font>
    <font>
      <b/>
      <sz val="9"/>
      <name val="ＭＳ Ｐゴシック"/>
      <family val="3"/>
    </font>
    <font>
      <b/>
      <sz val="16"/>
      <name val="ＭＳ Ｐゴシック"/>
      <family val="3"/>
    </font>
    <font>
      <b/>
      <sz val="14"/>
      <name val="ＭＳ Ｐゴシック"/>
      <family val="3"/>
    </font>
    <font>
      <sz val="12"/>
      <name val="ＭＳ Ｐゴシック"/>
      <family val="3"/>
    </font>
    <font>
      <sz val="6"/>
      <name val="ＭＳ Ｐゴシック"/>
      <family val="3"/>
    </font>
    <font>
      <sz val="9"/>
      <name val="ＭＳ 明朝"/>
      <family val="1"/>
    </font>
    <font>
      <b/>
      <sz val="12"/>
      <name val="ＭＳ 明朝"/>
      <family val="1"/>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2"/>
      <color rgb="FFFF0000"/>
      <name val="ＭＳ ゴシック"/>
      <family val="3"/>
    </font>
    <font>
      <b/>
      <sz val="8"/>
      <name val="ＭＳ 明朝"/>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
      <patternFill patternType="solid">
        <fgColor indexed="53"/>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color indexed="63"/>
      </top>
      <bottom style="thin"/>
    </border>
    <border>
      <left style="thin"/>
      <right>
        <color indexed="63"/>
      </right>
      <top style="medium"/>
      <bottom style="thin"/>
    </border>
    <border>
      <left style="double"/>
      <right style="thin"/>
      <top style="medium"/>
      <bottom>
        <color indexed="63"/>
      </bottom>
    </border>
    <border>
      <left style="medium"/>
      <right style="thin"/>
      <top>
        <color indexed="63"/>
      </top>
      <bottom style="thin"/>
    </border>
    <border>
      <left style="thin"/>
      <right style="thin"/>
      <top style="thin"/>
      <bottom style="thin"/>
    </border>
    <border>
      <left style="double"/>
      <right style="thin"/>
      <top style="thin"/>
      <bottom style="thin"/>
    </border>
    <border>
      <left style="thin"/>
      <right style="double"/>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color indexed="63"/>
      </left>
      <right style="thin"/>
      <top>
        <color indexed="63"/>
      </top>
      <bottom style="medium"/>
    </border>
    <border>
      <left style="double"/>
      <right style="thin"/>
      <top>
        <color indexed="63"/>
      </top>
      <bottom style="medium"/>
    </border>
    <border>
      <left style="thin"/>
      <right style="double"/>
      <top>
        <color indexed="63"/>
      </top>
      <bottom style="medium"/>
    </border>
    <border>
      <left style="medium"/>
      <right style="medium"/>
      <top style="medium"/>
      <bottom style="medium"/>
    </border>
    <border>
      <left style="thin"/>
      <right>
        <color indexed="63"/>
      </right>
      <top style="thin"/>
      <bottom style="thin"/>
    </border>
    <border>
      <left style="thin"/>
      <right>
        <color indexed="63"/>
      </right>
      <top style="hair"/>
      <bottom style="hair"/>
    </border>
    <border>
      <left style="thin"/>
      <right style="thin"/>
      <top style="thin"/>
      <bottom style="hair"/>
    </border>
    <border>
      <left style="thin"/>
      <right style="thin"/>
      <top style="hair"/>
      <bottom>
        <color indexed="63"/>
      </bottom>
    </border>
    <border>
      <left style="thin"/>
      <right style="thin"/>
      <top style="hair"/>
      <bottom style="hair"/>
    </border>
    <border>
      <left style="thin"/>
      <right style="thin"/>
      <top style="hair"/>
      <bottom style="thin"/>
    </border>
    <border>
      <left style="thin"/>
      <right>
        <color indexed="63"/>
      </right>
      <top style="hair"/>
      <bottom style="thin"/>
    </border>
    <border>
      <left style="thin"/>
      <right style="thin"/>
      <top>
        <color indexed="63"/>
      </top>
      <bottom style="hair"/>
    </border>
    <border>
      <left style="hair"/>
      <right style="hair"/>
      <top style="thin"/>
      <bottom>
        <color indexed="63"/>
      </bottom>
    </border>
    <border>
      <left style="thin"/>
      <right>
        <color indexed="63"/>
      </right>
      <top style="thin"/>
      <bottom style="hair"/>
    </border>
    <border>
      <left style="hair"/>
      <right style="hair"/>
      <top style="thin"/>
      <bottom style="thin"/>
    </border>
    <border>
      <left style="hair"/>
      <right style="hair"/>
      <top style="thin"/>
      <bottom style="hair"/>
    </border>
    <border>
      <left style="hair"/>
      <right style="hair"/>
      <top style="hair"/>
      <bottom style="hair"/>
    </border>
    <border>
      <left style="hair"/>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hair"/>
      <top style="thin"/>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color indexed="63"/>
      </right>
      <top style="hair"/>
      <bottom style="thin"/>
    </border>
    <border>
      <left style="hair"/>
      <right style="thin"/>
      <top style="thin"/>
      <bottom style="hair"/>
    </border>
    <border>
      <left style="hair"/>
      <right style="thin"/>
      <top style="hair"/>
      <bottom style="hair"/>
    </border>
    <border>
      <left>
        <color indexed="63"/>
      </left>
      <right style="thin"/>
      <top style="thin"/>
      <bottom style="hair"/>
    </border>
    <border>
      <left>
        <color indexed="63"/>
      </left>
      <right style="thin"/>
      <top style="hair"/>
      <bottom style="hair"/>
    </border>
    <border>
      <left style="hair"/>
      <right style="thin"/>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style="hair"/>
      <bottom style="thin"/>
    </border>
    <border>
      <left>
        <color indexed="63"/>
      </left>
      <right style="thin"/>
      <top>
        <color indexed="63"/>
      </top>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thin"/>
      <top style="hair"/>
      <bottom style="thin"/>
    </border>
    <border>
      <left>
        <color indexed="63"/>
      </left>
      <right style="thin"/>
      <top style="thin"/>
      <bottom style="thin"/>
    </border>
    <border>
      <left style="hair"/>
      <right style="hair"/>
      <top>
        <color indexed="63"/>
      </top>
      <bottom style="hair"/>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style="thin"/>
    </border>
    <border>
      <left>
        <color indexed="63"/>
      </left>
      <right style="double"/>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double"/>
      <top style="thin"/>
      <bottom style="thin"/>
    </border>
    <border>
      <left style="medium"/>
      <right style="thin"/>
      <top style="medium"/>
      <bottom>
        <color indexed="63"/>
      </bottom>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thin"/>
      <bottom style="thin"/>
    </border>
    <border>
      <left>
        <color indexed="63"/>
      </left>
      <right style="hair"/>
      <top style="thin"/>
      <bottom style="thin"/>
    </border>
    <border>
      <left style="thin"/>
      <right>
        <color indexed="63"/>
      </right>
      <top>
        <color indexed="63"/>
      </top>
      <bottom style="thick"/>
    </border>
    <border>
      <left>
        <color indexed="63"/>
      </left>
      <right style="thin"/>
      <top>
        <color indexed="63"/>
      </top>
      <bottom style="thick"/>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hair"/>
      <bottom>
        <color indexed="63"/>
      </botto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4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189" fontId="0" fillId="0" borderId="19" xfId="0" applyNumberFormat="1" applyBorder="1" applyAlignment="1">
      <alignment horizontal="center" vertical="center"/>
    </xf>
    <xf numFmtId="186" fontId="0" fillId="0" borderId="20" xfId="0" applyNumberFormat="1" applyBorder="1" applyAlignment="1">
      <alignment horizontal="center" vertical="center"/>
    </xf>
    <xf numFmtId="189" fontId="0" fillId="0" borderId="14" xfId="0" applyNumberFormat="1" applyBorder="1" applyAlignment="1">
      <alignment horizontal="center" vertical="center"/>
    </xf>
    <xf numFmtId="0" fontId="0" fillId="0" borderId="0" xfId="0" applyNumberFormat="1" applyBorder="1" applyAlignment="1">
      <alignment horizontal="center" vertical="center"/>
    </xf>
    <xf numFmtId="0" fontId="0" fillId="0" borderId="16" xfId="0" applyNumberFormat="1" applyBorder="1" applyAlignment="1">
      <alignment horizontal="center" vertical="center"/>
    </xf>
    <xf numFmtId="187" fontId="0" fillId="0" borderId="21" xfId="0" applyNumberFormat="1" applyBorder="1" applyAlignment="1">
      <alignment horizontal="center" vertical="center"/>
    </xf>
    <xf numFmtId="190" fontId="0" fillId="0" borderId="14" xfId="0" applyNumberFormat="1" applyBorder="1" applyAlignment="1">
      <alignment horizontal="center" vertical="center"/>
    </xf>
    <xf numFmtId="196" fontId="0" fillId="0" borderId="14" xfId="0" applyNumberFormat="1" applyBorder="1" applyAlignment="1">
      <alignment horizontal="center" vertical="center"/>
    </xf>
    <xf numFmtId="196" fontId="0" fillId="0" borderId="20" xfId="0" applyNumberFormat="1"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left" vertical="center"/>
    </xf>
    <xf numFmtId="0" fontId="4" fillId="0" borderId="12" xfId="0" applyFont="1" applyBorder="1" applyAlignment="1">
      <alignment horizontal="center" vertical="top"/>
    </xf>
    <xf numFmtId="187" fontId="0" fillId="0" borderId="20" xfId="0" applyNumberFormat="1" applyBorder="1" applyAlignment="1">
      <alignment horizontal="center" vertical="center"/>
    </xf>
    <xf numFmtId="189" fontId="0" fillId="0" borderId="22" xfId="0" applyNumberFormat="1" applyBorder="1" applyAlignment="1">
      <alignment horizontal="center" vertical="center"/>
    </xf>
    <xf numFmtId="0" fontId="0" fillId="0" borderId="23" xfId="0" applyNumberFormat="1" applyBorder="1" applyAlignment="1">
      <alignment horizontal="center" vertical="center"/>
    </xf>
    <xf numFmtId="187" fontId="0" fillId="0" borderId="24" xfId="0" applyNumberFormat="1" applyBorder="1" applyAlignment="1">
      <alignment horizontal="center"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25" xfId="0" applyFont="1" applyBorder="1" applyAlignment="1">
      <alignment horizontal="center"/>
    </xf>
    <xf numFmtId="195" fontId="0" fillId="0" borderId="0" xfId="0" applyNumberFormat="1" applyBorder="1" applyAlignment="1">
      <alignment vertical="center"/>
    </xf>
    <xf numFmtId="0" fontId="0" fillId="0" borderId="0" xfId="0" applyBorder="1" applyAlignment="1">
      <alignment vertical="center"/>
    </xf>
    <xf numFmtId="196" fontId="0" fillId="0" borderId="0" xfId="0" applyNumberFormat="1" applyBorder="1" applyAlignment="1">
      <alignment horizontal="center" vertical="center"/>
    </xf>
    <xf numFmtId="190" fontId="0" fillId="0" borderId="0" xfId="0" applyNumberFormat="1" applyBorder="1" applyAlignment="1">
      <alignment horizontal="center" vertical="center"/>
    </xf>
    <xf numFmtId="189" fontId="0" fillId="0" borderId="16" xfId="0" applyNumberFormat="1" applyBorder="1" applyAlignment="1">
      <alignment horizontal="center" vertical="center"/>
    </xf>
    <xf numFmtId="189" fontId="0" fillId="0" borderId="0" xfId="0" applyNumberFormat="1" applyBorder="1" applyAlignment="1">
      <alignment horizontal="center" vertical="center"/>
    </xf>
    <xf numFmtId="196" fontId="0" fillId="0" borderId="16" xfId="0" applyNumberFormat="1" applyBorder="1" applyAlignment="1">
      <alignment horizontal="center" vertical="center"/>
    </xf>
    <xf numFmtId="0" fontId="4" fillId="0" borderId="14" xfId="0" applyFont="1" applyBorder="1" applyAlignment="1">
      <alignment horizontal="center" vertical="center"/>
    </xf>
    <xf numFmtId="0" fontId="5" fillId="0" borderId="13" xfId="0" applyFont="1" applyBorder="1" applyAlignment="1">
      <alignment vertical="center"/>
    </xf>
    <xf numFmtId="0" fontId="0" fillId="0" borderId="16" xfId="0" applyBorder="1" applyAlignment="1">
      <alignment vertical="center"/>
    </xf>
    <xf numFmtId="195" fontId="0" fillId="0" borderId="16" xfId="0" applyNumberFormat="1" applyBorder="1" applyAlignment="1">
      <alignment vertical="center"/>
    </xf>
    <xf numFmtId="197" fontId="0" fillId="0" borderId="16" xfId="0" applyNumberFormat="1" applyBorder="1" applyAlignment="1">
      <alignment vertical="center"/>
    </xf>
    <xf numFmtId="187" fontId="0" fillId="0" borderId="16" xfId="0" applyNumberFormat="1" applyBorder="1" applyAlignment="1">
      <alignment horizontal="center" vertical="center"/>
    </xf>
    <xf numFmtId="0" fontId="0" fillId="0" borderId="0" xfId="0" applyBorder="1" applyAlignment="1">
      <alignment horizontal="center" vertical="center"/>
    </xf>
    <xf numFmtId="197" fontId="0" fillId="0" borderId="0" xfId="0" applyNumberFormat="1" applyBorder="1" applyAlignment="1">
      <alignment vertical="center"/>
    </xf>
    <xf numFmtId="187" fontId="0" fillId="0" borderId="0" xfId="0" applyNumberFormat="1" applyBorder="1" applyAlignment="1">
      <alignment horizontal="center" vertical="center"/>
    </xf>
    <xf numFmtId="196" fontId="0" fillId="0" borderId="26" xfId="0" applyNumberFormat="1" applyBorder="1" applyAlignment="1">
      <alignment horizontal="center" vertical="center"/>
    </xf>
    <xf numFmtId="0" fontId="0" fillId="0" borderId="27" xfId="0" applyBorder="1" applyAlignment="1">
      <alignment horizontal="center" vertical="center"/>
    </xf>
    <xf numFmtId="0" fontId="4" fillId="0" borderId="27" xfId="0" applyFont="1" applyBorder="1" applyAlignment="1">
      <alignment horizontal="center" vertical="center"/>
    </xf>
    <xf numFmtId="189" fontId="0" fillId="0" borderId="27" xfId="0" applyNumberFormat="1" applyBorder="1" applyAlignment="1">
      <alignment horizontal="center" vertical="center"/>
    </xf>
    <xf numFmtId="196" fontId="0" fillId="0" borderId="27" xfId="0" applyNumberFormat="1" applyBorder="1" applyAlignment="1">
      <alignment horizontal="center" vertical="center"/>
    </xf>
    <xf numFmtId="187" fontId="0" fillId="0" borderId="27" xfId="0" applyNumberFormat="1" applyBorder="1" applyAlignment="1">
      <alignment horizontal="center" vertical="center"/>
    </xf>
    <xf numFmtId="0" fontId="6" fillId="33" borderId="0" xfId="0" applyFont="1" applyFill="1" applyAlignment="1">
      <alignment vertical="center"/>
    </xf>
    <xf numFmtId="0" fontId="7" fillId="33" borderId="0" xfId="0" applyFont="1" applyFill="1" applyAlignment="1">
      <alignment vertical="center"/>
    </xf>
    <xf numFmtId="201" fontId="0" fillId="0" borderId="27" xfId="0" applyNumberFormat="1" applyBorder="1" applyAlignment="1">
      <alignment vertical="center"/>
    </xf>
    <xf numFmtId="0" fontId="6" fillId="33" borderId="0" xfId="0" applyFont="1" applyFill="1" applyBorder="1" applyAlignment="1">
      <alignment vertical="center"/>
    </xf>
    <xf numFmtId="190" fontId="0" fillId="0" borderId="19" xfId="0" applyNumberFormat="1" applyBorder="1" applyAlignment="1">
      <alignment horizontal="center" vertical="center"/>
    </xf>
    <xf numFmtId="190" fontId="0" fillId="0" borderId="16" xfId="0" applyNumberFormat="1" applyBorder="1" applyAlignment="1">
      <alignment horizontal="center" vertical="center"/>
    </xf>
    <xf numFmtId="0" fontId="4" fillId="0" borderId="10" xfId="0" applyFont="1" applyBorder="1" applyAlignment="1">
      <alignment horizontal="left" vertical="center"/>
    </xf>
    <xf numFmtId="201" fontId="4" fillId="0" borderId="10" xfId="0" applyNumberFormat="1" applyFont="1" applyBorder="1" applyAlignment="1">
      <alignment vertical="center"/>
    </xf>
    <xf numFmtId="201" fontId="4" fillId="0" borderId="13" xfId="0" applyNumberFormat="1" applyFont="1" applyBorder="1" applyAlignment="1">
      <alignment vertical="center"/>
    </xf>
    <xf numFmtId="201" fontId="4" fillId="0" borderId="28" xfId="0" applyNumberFormat="1" applyFont="1" applyBorder="1" applyAlignment="1">
      <alignment vertical="center"/>
    </xf>
    <xf numFmtId="201" fontId="4" fillId="0" borderId="18" xfId="0" applyNumberFormat="1" applyFont="1" applyBorder="1" applyAlignment="1">
      <alignment vertical="center"/>
    </xf>
    <xf numFmtId="201" fontId="4" fillId="0" borderId="29" xfId="0" applyNumberFormat="1" applyFont="1" applyBorder="1" applyAlignment="1">
      <alignment vertical="center"/>
    </xf>
    <xf numFmtId="201" fontId="4" fillId="0" borderId="30" xfId="0" applyNumberFormat="1" applyFont="1" applyBorder="1" applyAlignment="1">
      <alignment vertical="center"/>
    </xf>
    <xf numFmtId="198" fontId="0" fillId="0" borderId="26" xfId="0" applyNumberFormat="1" applyBorder="1" applyAlignment="1">
      <alignment horizontal="center" vertical="center"/>
    </xf>
    <xf numFmtId="199" fontId="0" fillId="0" borderId="31" xfId="0" applyNumberFormat="1" applyBorder="1" applyAlignment="1">
      <alignment horizontal="center" vertical="center"/>
    </xf>
    <xf numFmtId="199" fontId="0" fillId="0" borderId="21" xfId="0" applyNumberFormat="1" applyBorder="1" applyAlignment="1">
      <alignment horizontal="center" vertical="center"/>
    </xf>
    <xf numFmtId="198" fontId="0" fillId="0" borderId="20" xfId="0" applyNumberFormat="1" applyBorder="1" applyAlignment="1">
      <alignment horizontal="center" vertical="center"/>
    </xf>
    <xf numFmtId="0" fontId="9" fillId="0" borderId="0" xfId="0" applyFont="1" applyAlignment="1">
      <alignment horizontal="center" vertical="center"/>
    </xf>
    <xf numFmtId="199" fontId="0" fillId="0" borderId="26" xfId="0" applyNumberFormat="1" applyBorder="1" applyAlignment="1">
      <alignment horizontal="center" vertical="center"/>
    </xf>
    <xf numFmtId="0" fontId="4"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center" vertical="center"/>
    </xf>
    <xf numFmtId="201" fontId="2" fillId="0" borderId="10" xfId="0" applyNumberFormat="1" applyFont="1" applyBorder="1" applyAlignment="1">
      <alignment vertical="center"/>
    </xf>
    <xf numFmtId="201" fontId="2" fillId="0" borderId="13" xfId="0" applyNumberFormat="1" applyFont="1" applyBorder="1" applyAlignment="1">
      <alignment vertical="center"/>
    </xf>
    <xf numFmtId="201" fontId="2" fillId="0" borderId="28" xfId="0" applyNumberFormat="1" applyFont="1" applyBorder="1" applyAlignment="1">
      <alignment vertical="center"/>
    </xf>
    <xf numFmtId="201" fontId="2" fillId="0" borderId="18" xfId="0" applyNumberFormat="1" applyFont="1" applyBorder="1" applyAlignment="1">
      <alignment vertical="center"/>
    </xf>
    <xf numFmtId="201" fontId="2" fillId="0" borderId="29" xfId="0" applyNumberFormat="1" applyFont="1" applyBorder="1" applyAlignment="1">
      <alignment vertical="center"/>
    </xf>
    <xf numFmtId="201" fontId="2" fillId="0" borderId="30" xfId="0" applyNumberFormat="1" applyFont="1" applyBorder="1" applyAlignment="1">
      <alignment vertical="center"/>
    </xf>
    <xf numFmtId="201" fontId="2" fillId="0" borderId="12" xfId="0" applyNumberFormat="1" applyFont="1" applyBorder="1" applyAlignment="1">
      <alignment vertical="center"/>
    </xf>
    <xf numFmtId="201" fontId="2" fillId="0" borderId="14" xfId="0" applyNumberFormat="1" applyFont="1" applyBorder="1" applyAlignment="1">
      <alignment vertical="center"/>
    </xf>
    <xf numFmtId="201" fontId="2" fillId="0" borderId="26" xfId="0" applyNumberFormat="1" applyFont="1" applyBorder="1" applyAlignment="1">
      <alignment vertical="center"/>
    </xf>
    <xf numFmtId="201" fontId="2" fillId="0" borderId="0" xfId="0" applyNumberFormat="1" applyFont="1" applyBorder="1" applyAlignment="1">
      <alignment vertical="center"/>
    </xf>
    <xf numFmtId="201" fontId="2" fillId="0" borderId="41" xfId="0" applyNumberFormat="1" applyFont="1" applyBorder="1" applyAlignment="1">
      <alignment vertical="center"/>
    </xf>
    <xf numFmtId="201" fontId="2" fillId="0" borderId="42" xfId="0" applyNumberFormat="1" applyFont="1" applyBorder="1" applyAlignment="1">
      <alignment vertical="center"/>
    </xf>
    <xf numFmtId="201" fontId="2" fillId="0" borderId="11" xfId="0" applyNumberFormat="1" applyFont="1" applyBorder="1" applyAlignment="1">
      <alignment vertical="center"/>
    </xf>
    <xf numFmtId="201" fontId="2" fillId="0" borderId="19" xfId="0" applyNumberFormat="1" applyFont="1" applyBorder="1" applyAlignment="1">
      <alignment vertical="center"/>
    </xf>
    <xf numFmtId="201" fontId="2" fillId="0" borderId="43" xfId="0" applyNumberFormat="1" applyFont="1" applyBorder="1" applyAlignment="1">
      <alignment horizontal="right" vertical="center"/>
    </xf>
    <xf numFmtId="201" fontId="2" fillId="0" borderId="44" xfId="0" applyNumberFormat="1" applyFont="1" applyBorder="1" applyAlignment="1">
      <alignment vertical="center"/>
    </xf>
    <xf numFmtId="201" fontId="2" fillId="0" borderId="31" xfId="0" applyNumberFormat="1" applyFont="1" applyBorder="1" applyAlignment="1">
      <alignment vertical="center"/>
    </xf>
    <xf numFmtId="201" fontId="2" fillId="0" borderId="43" xfId="0" applyNumberFormat="1" applyFont="1" applyBorder="1" applyAlignment="1">
      <alignment vertical="center"/>
    </xf>
    <xf numFmtId="201" fontId="2" fillId="0" borderId="16" xfId="0" applyNumberFormat="1" applyFont="1" applyBorder="1" applyAlignment="1">
      <alignment vertical="center"/>
    </xf>
    <xf numFmtId="201" fontId="2" fillId="0" borderId="15" xfId="0" applyNumberFormat="1" applyFont="1" applyBorder="1" applyAlignment="1">
      <alignment vertical="center"/>
    </xf>
    <xf numFmtId="201" fontId="2" fillId="0" borderId="45" xfId="0" applyNumberFormat="1" applyFont="1" applyBorder="1" applyAlignment="1">
      <alignment vertical="center"/>
    </xf>
    <xf numFmtId="201" fontId="2" fillId="0" borderId="46" xfId="0" applyNumberFormat="1" applyFont="1" applyBorder="1" applyAlignment="1">
      <alignment vertical="center"/>
    </xf>
    <xf numFmtId="201" fontId="2" fillId="0" borderId="47" xfId="0" applyNumberFormat="1" applyFont="1" applyBorder="1" applyAlignment="1">
      <alignment vertical="center"/>
    </xf>
    <xf numFmtId="0" fontId="6" fillId="34" borderId="48"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pplyBorder="1" applyAlignment="1">
      <alignment horizontal="center" vertical="center"/>
    </xf>
    <xf numFmtId="14" fontId="2" fillId="0" borderId="12" xfId="0" applyNumberFormat="1" applyFont="1" applyBorder="1" applyAlignment="1">
      <alignment horizontal="center" vertical="center"/>
    </xf>
    <xf numFmtId="14" fontId="2" fillId="0" borderId="12" xfId="0" applyNumberFormat="1" applyFont="1" applyBorder="1" applyAlignment="1">
      <alignment horizontal="center"/>
    </xf>
    <xf numFmtId="0" fontId="15" fillId="0" borderId="0" xfId="0" applyFont="1" applyFill="1" applyBorder="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50" xfId="0" applyBorder="1" applyAlignment="1">
      <alignment horizontal="center" vertical="center"/>
    </xf>
    <xf numFmtId="202" fontId="0" fillId="0" borderId="10" xfId="0" applyNumberFormat="1" applyBorder="1" applyAlignment="1">
      <alignment vertical="center"/>
    </xf>
    <xf numFmtId="202" fontId="0" fillId="0" borderId="35" xfId="0" applyNumberFormat="1" applyBorder="1" applyAlignment="1">
      <alignment horizontal="center" vertical="center"/>
    </xf>
    <xf numFmtId="202" fontId="0" fillId="0" borderId="51" xfId="0" applyNumberFormat="1" applyBorder="1" applyAlignment="1">
      <alignment horizontal="center" vertical="center"/>
    </xf>
    <xf numFmtId="202" fontId="0" fillId="0" borderId="52" xfId="0" applyNumberFormat="1" applyBorder="1" applyAlignment="1">
      <alignment vertical="center"/>
    </xf>
    <xf numFmtId="202" fontId="0" fillId="0" borderId="53" xfId="0" applyNumberFormat="1" applyBorder="1" applyAlignment="1">
      <alignment vertical="center"/>
    </xf>
    <xf numFmtId="202" fontId="0" fillId="0" borderId="54" xfId="0" applyNumberFormat="1" applyBorder="1" applyAlignment="1">
      <alignment vertical="center"/>
    </xf>
    <xf numFmtId="202" fontId="0" fillId="0" borderId="55" xfId="0" applyNumberFormat="1" applyBorder="1" applyAlignment="1">
      <alignment vertical="center"/>
    </xf>
    <xf numFmtId="202" fontId="0" fillId="0" borderId="53" xfId="0" applyNumberFormat="1" applyBorder="1" applyAlignment="1">
      <alignment horizontal="center" vertical="center"/>
    </xf>
    <xf numFmtId="202" fontId="0" fillId="0" borderId="56" xfId="0" applyNumberFormat="1" applyBorder="1" applyAlignment="1">
      <alignment vertical="center"/>
    </xf>
    <xf numFmtId="202" fontId="0" fillId="33" borderId="51" xfId="0" applyNumberFormat="1" applyFill="1" applyBorder="1" applyAlignment="1">
      <alignment horizontal="center" vertical="center"/>
    </xf>
    <xf numFmtId="202" fontId="0" fillId="33" borderId="56" xfId="0" applyNumberFormat="1" applyFill="1" applyBorder="1" applyAlignment="1">
      <alignment vertical="center"/>
    </xf>
    <xf numFmtId="202" fontId="0" fillId="33" borderId="55" xfId="0" applyNumberFormat="1" applyFill="1"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202" fontId="0" fillId="0" borderId="60" xfId="0" applyNumberFormat="1" applyFill="1" applyBorder="1" applyAlignment="1">
      <alignment horizontal="right" vertical="center"/>
    </xf>
    <xf numFmtId="202" fontId="0" fillId="0" borderId="61" xfId="0" applyNumberFormat="1" applyFill="1" applyBorder="1" applyAlignment="1">
      <alignment horizontal="right" vertical="center"/>
    </xf>
    <xf numFmtId="0" fontId="0" fillId="0" borderId="62" xfId="0" applyBorder="1" applyAlignment="1">
      <alignment horizontal="center" vertical="center"/>
    </xf>
    <xf numFmtId="202" fontId="0" fillId="0" borderId="13" xfId="0" applyNumberFormat="1" applyBorder="1" applyAlignment="1">
      <alignment horizontal="center" vertical="center"/>
    </xf>
    <xf numFmtId="202" fontId="0" fillId="33" borderId="53" xfId="0" applyNumberFormat="1" applyFill="1" applyBorder="1" applyAlignment="1">
      <alignment vertical="center"/>
    </xf>
    <xf numFmtId="0" fontId="0" fillId="0" borderId="13" xfId="0" applyBorder="1" applyAlignment="1">
      <alignment horizontal="center" vertical="center"/>
    </xf>
    <xf numFmtId="0" fontId="13" fillId="0" borderId="0" xfId="0" applyFont="1" applyFill="1" applyBorder="1" applyAlignment="1">
      <alignment horizontal="center" vertical="center"/>
    </xf>
    <xf numFmtId="202" fontId="14"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202" fontId="0" fillId="0" borderId="0" xfId="0" applyNumberFormat="1" applyAlignment="1">
      <alignment vertical="center"/>
    </xf>
    <xf numFmtId="202" fontId="0" fillId="0" borderId="0" xfId="0" applyNumberFormat="1" applyBorder="1" applyAlignment="1">
      <alignment vertical="center"/>
    </xf>
    <xf numFmtId="0" fontId="0" fillId="0" borderId="57" xfId="0"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67" xfId="0" applyBorder="1" applyAlignment="1">
      <alignment horizontal="center" vertical="center"/>
    </xf>
    <xf numFmtId="196" fontId="0" fillId="0" borderId="68" xfId="0" applyNumberFormat="1" applyBorder="1" applyAlignment="1">
      <alignment horizontal="center" vertical="center"/>
    </xf>
    <xf numFmtId="201" fontId="0" fillId="0" borderId="13" xfId="0" applyNumberFormat="1" applyFont="1" applyBorder="1" applyAlignment="1">
      <alignment vertical="center"/>
    </xf>
    <xf numFmtId="0" fontId="0" fillId="0" borderId="18" xfId="0" applyFont="1" applyBorder="1" applyAlignment="1">
      <alignment vertical="center"/>
    </xf>
    <xf numFmtId="203" fontId="0" fillId="0" borderId="17" xfId="0" applyNumberFormat="1" applyFont="1" applyBorder="1" applyAlignment="1">
      <alignment horizontal="left" vertical="center"/>
    </xf>
    <xf numFmtId="0" fontId="0" fillId="0" borderId="0" xfId="0" applyNumberFormat="1" applyFont="1" applyBorder="1" applyAlignment="1">
      <alignment horizontal="center" vertical="center"/>
    </xf>
    <xf numFmtId="201" fontId="0" fillId="0" borderId="0" xfId="0" applyNumberFormat="1" applyFont="1" applyBorder="1" applyAlignment="1">
      <alignment vertical="center"/>
    </xf>
    <xf numFmtId="201" fontId="0" fillId="0" borderId="16" xfId="0" applyNumberFormat="1" applyFont="1" applyBorder="1" applyAlignment="1">
      <alignment vertical="center"/>
    </xf>
    <xf numFmtId="0" fontId="0" fillId="0" borderId="17" xfId="0" applyFont="1" applyBorder="1" applyAlignment="1">
      <alignment vertical="center"/>
    </xf>
    <xf numFmtId="0" fontId="0" fillId="0" borderId="18" xfId="0" applyNumberFormat="1" applyFont="1" applyBorder="1" applyAlignment="1">
      <alignment vertical="center"/>
    </xf>
    <xf numFmtId="0" fontId="0" fillId="0" borderId="17" xfId="0" applyNumberFormat="1" applyFont="1" applyBorder="1" applyAlignment="1">
      <alignment vertical="center"/>
    </xf>
    <xf numFmtId="196" fontId="0" fillId="0" borderId="14" xfId="0" applyNumberFormat="1" applyFont="1" applyBorder="1" applyAlignment="1">
      <alignment horizontal="right" vertical="center"/>
    </xf>
    <xf numFmtId="190" fontId="0" fillId="0" borderId="14" xfId="0" applyNumberFormat="1" applyFont="1" applyBorder="1" applyAlignment="1">
      <alignment horizontal="right" vertical="center"/>
    </xf>
    <xf numFmtId="190" fontId="0" fillId="0" borderId="19" xfId="0" applyNumberFormat="1" applyFont="1" applyBorder="1" applyAlignment="1">
      <alignment horizontal="right" vertical="center"/>
    </xf>
    <xf numFmtId="196" fontId="0" fillId="0" borderId="20" xfId="0" applyNumberFormat="1" applyFont="1" applyBorder="1" applyAlignment="1">
      <alignment horizontal="left" vertical="center"/>
    </xf>
    <xf numFmtId="198" fontId="0" fillId="0" borderId="20" xfId="0" applyNumberFormat="1" applyFont="1" applyBorder="1" applyAlignment="1">
      <alignment horizontal="left" vertical="center"/>
    </xf>
    <xf numFmtId="199" fontId="0" fillId="0" borderId="20" xfId="0" applyNumberFormat="1" applyFont="1" applyBorder="1" applyAlignment="1">
      <alignment horizontal="left" vertical="center"/>
    </xf>
    <xf numFmtId="199" fontId="0" fillId="0" borderId="21" xfId="0" applyNumberFormat="1" applyFont="1" applyBorder="1" applyAlignment="1">
      <alignment horizontal="left" vertical="center"/>
    </xf>
    <xf numFmtId="202" fontId="0" fillId="0" borderId="54" xfId="0" applyNumberFormat="1" applyBorder="1" applyAlignment="1">
      <alignment horizontal="center" vertical="center"/>
    </xf>
    <xf numFmtId="202" fontId="0" fillId="33" borderId="53" xfId="0" applyNumberFormat="1" applyFill="1" applyBorder="1" applyAlignment="1">
      <alignment horizontal="center" vertical="center"/>
    </xf>
    <xf numFmtId="0" fontId="0" fillId="0" borderId="53" xfId="0" applyBorder="1" applyAlignment="1">
      <alignment vertical="center"/>
    </xf>
    <xf numFmtId="0" fontId="0" fillId="0" borderId="69" xfId="0" applyBorder="1" applyAlignment="1">
      <alignment horizontal="center" vertical="center"/>
    </xf>
    <xf numFmtId="202" fontId="0" fillId="0" borderId="70" xfId="0" applyNumberFormat="1" applyFill="1" applyBorder="1" applyAlignment="1">
      <alignment horizontal="right" vertical="center"/>
    </xf>
    <xf numFmtId="196" fontId="0" fillId="0" borderId="71" xfId="0" applyNumberFormat="1" applyBorder="1" applyAlignment="1">
      <alignment horizontal="center" vertical="center"/>
    </xf>
    <xf numFmtId="0" fontId="0" fillId="0" borderId="18" xfId="0" applyBorder="1" applyAlignment="1">
      <alignment horizontal="center" vertical="center"/>
    </xf>
    <xf numFmtId="202" fontId="0" fillId="0" borderId="18" xfId="0" applyNumberFormat="1" applyFill="1" applyBorder="1" applyAlignment="1">
      <alignment horizontal="right" vertical="center"/>
    </xf>
    <xf numFmtId="196" fontId="0" fillId="0" borderId="18" xfId="0" applyNumberFormat="1" applyBorder="1" applyAlignment="1">
      <alignment horizontal="center" vertical="center"/>
    </xf>
    <xf numFmtId="202" fontId="0" fillId="0" borderId="0" xfId="0" applyNumberFormat="1" applyFill="1" applyBorder="1" applyAlignment="1">
      <alignment horizontal="right" vertical="center"/>
    </xf>
    <xf numFmtId="198" fontId="0" fillId="0" borderId="14" xfId="0" applyNumberFormat="1" applyFont="1" applyBorder="1" applyAlignment="1">
      <alignment vertical="center"/>
    </xf>
    <xf numFmtId="206" fontId="0" fillId="0" borderId="28" xfId="0" applyNumberFormat="1" applyBorder="1" applyAlignment="1">
      <alignment horizontal="left" vertical="center"/>
    </xf>
    <xf numFmtId="0" fontId="4" fillId="0" borderId="14" xfId="0" applyFont="1" applyBorder="1" applyAlignment="1">
      <alignment horizontal="left" vertical="center"/>
    </xf>
    <xf numFmtId="202" fontId="0" fillId="0" borderId="69" xfId="0" applyNumberFormat="1" applyBorder="1" applyAlignment="1">
      <alignment vertical="center"/>
    </xf>
    <xf numFmtId="202" fontId="0" fillId="0" borderId="52" xfId="0" applyNumberFormat="1" applyBorder="1" applyAlignment="1">
      <alignment horizontal="center" vertical="center"/>
    </xf>
    <xf numFmtId="202" fontId="0" fillId="33" borderId="56" xfId="0" applyNumberFormat="1" applyFill="1" applyBorder="1" applyAlignment="1">
      <alignment horizontal="center" vertical="center"/>
    </xf>
    <xf numFmtId="0" fontId="0" fillId="0" borderId="72" xfId="0" applyBorder="1" applyAlignment="1">
      <alignment vertical="center"/>
    </xf>
    <xf numFmtId="202" fontId="0" fillId="0" borderId="54" xfId="0" applyNumberFormat="1" applyFill="1" applyBorder="1" applyAlignment="1">
      <alignment horizontal="center" vertical="center"/>
    </xf>
    <xf numFmtId="202" fontId="0" fillId="33" borderId="54" xfId="0" applyNumberFormat="1" applyFill="1" applyBorder="1" applyAlignment="1">
      <alignment vertical="center"/>
    </xf>
    <xf numFmtId="202" fontId="0" fillId="0" borderId="52" xfId="0" applyNumberFormat="1" applyFill="1" applyBorder="1" applyAlignment="1">
      <alignment horizontal="center" vertical="center"/>
    </xf>
    <xf numFmtId="0" fontId="0" fillId="0" borderId="18" xfId="0" applyFill="1" applyBorder="1" applyAlignment="1">
      <alignment vertical="center"/>
    </xf>
    <xf numFmtId="202" fontId="0" fillId="0" borderId="18" xfId="0" applyNumberFormat="1" applyFill="1" applyBorder="1" applyAlignment="1">
      <alignment vertical="center"/>
    </xf>
    <xf numFmtId="0" fontId="0" fillId="0" borderId="18" xfId="0" applyFill="1" applyBorder="1" applyAlignment="1">
      <alignment horizontal="center" vertical="center"/>
    </xf>
    <xf numFmtId="196" fontId="0" fillId="0" borderId="18" xfId="0" applyNumberFormat="1" applyFill="1" applyBorder="1" applyAlignment="1">
      <alignment horizontal="center" vertical="center"/>
    </xf>
    <xf numFmtId="202" fontId="0" fillId="0" borderId="0" xfId="0" applyNumberFormat="1" applyFill="1" applyBorder="1" applyAlignment="1">
      <alignment vertical="center"/>
    </xf>
    <xf numFmtId="196" fontId="0" fillId="0" borderId="0" xfId="0" applyNumberFormat="1" applyFill="1" applyBorder="1" applyAlignment="1">
      <alignment horizontal="center" vertical="center"/>
    </xf>
    <xf numFmtId="0" fontId="0" fillId="0" borderId="26" xfId="0" applyBorder="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center" vertical="center"/>
    </xf>
    <xf numFmtId="202" fontId="0" fillId="0" borderId="56" xfId="0" applyNumberFormat="1" applyFill="1" applyBorder="1" applyAlignment="1">
      <alignment vertical="center"/>
    </xf>
    <xf numFmtId="0" fontId="9" fillId="34" borderId="0" xfId="0" applyFont="1" applyFill="1" applyAlignment="1" applyProtection="1">
      <alignment horizontal="center" vertical="center"/>
      <protection locked="0"/>
    </xf>
    <xf numFmtId="0" fontId="0" fillId="0" borderId="20" xfId="0" applyBorder="1" applyAlignment="1">
      <alignment vertical="center"/>
    </xf>
    <xf numFmtId="198" fontId="0" fillId="0" borderId="21" xfId="0" applyNumberFormat="1" applyFont="1" applyBorder="1" applyAlignment="1">
      <alignment horizontal="left" vertical="center"/>
    </xf>
    <xf numFmtId="202" fontId="0" fillId="34" borderId="60" xfId="0" applyNumberFormat="1" applyFill="1" applyBorder="1" applyAlignment="1" applyProtection="1">
      <alignment horizontal="right" vertical="center"/>
      <protection locked="0"/>
    </xf>
    <xf numFmtId="202" fontId="0" fillId="34" borderId="61" xfId="0" applyNumberFormat="1" applyFill="1" applyBorder="1" applyAlignment="1" applyProtection="1">
      <alignment horizontal="right" vertical="center"/>
      <protection locked="0"/>
    </xf>
    <xf numFmtId="202" fontId="0" fillId="34" borderId="73" xfId="0" applyNumberFormat="1" applyFill="1" applyBorder="1" applyAlignment="1" applyProtection="1">
      <alignment horizontal="right" vertical="center"/>
      <protection locked="0"/>
    </xf>
    <xf numFmtId="196" fontId="0" fillId="34" borderId="58" xfId="0" applyNumberFormat="1" applyFill="1" applyBorder="1" applyAlignment="1" applyProtection="1">
      <alignment horizontal="center" vertical="center"/>
      <protection locked="0"/>
    </xf>
    <xf numFmtId="202" fontId="0" fillId="34" borderId="74" xfId="0" applyNumberFormat="1" applyFill="1" applyBorder="1" applyAlignment="1" applyProtection="1">
      <alignment horizontal="right" vertical="center"/>
      <protection locked="0"/>
    </xf>
    <xf numFmtId="196" fontId="0" fillId="34" borderId="50" xfId="0" applyNumberFormat="1" applyFill="1" applyBorder="1" applyAlignment="1" applyProtection="1">
      <alignment horizontal="center" vertical="center"/>
      <protection locked="0"/>
    </xf>
    <xf numFmtId="196" fontId="0" fillId="34" borderId="75" xfId="0" applyNumberFormat="1" applyFill="1" applyBorder="1" applyAlignment="1" applyProtection="1">
      <alignment horizontal="center" vertical="center"/>
      <protection locked="0"/>
    </xf>
    <xf numFmtId="196" fontId="0" fillId="34" borderId="76" xfId="0" applyNumberFormat="1" applyFill="1" applyBorder="1" applyAlignment="1" applyProtection="1">
      <alignment horizontal="center" vertical="center"/>
      <protection locked="0"/>
    </xf>
    <xf numFmtId="202" fontId="0" fillId="34" borderId="53" xfId="0" applyNumberFormat="1" applyFill="1" applyBorder="1" applyAlignment="1" applyProtection="1">
      <alignment vertical="center"/>
      <protection locked="0"/>
    </xf>
    <xf numFmtId="202" fontId="7" fillId="34" borderId="53" xfId="0" applyNumberFormat="1" applyFont="1" applyFill="1" applyBorder="1" applyAlignment="1" applyProtection="1">
      <alignment horizontal="center" vertical="center"/>
      <protection locked="0"/>
    </xf>
    <xf numFmtId="0" fontId="17" fillId="34" borderId="35" xfId="0" applyFont="1" applyFill="1" applyBorder="1" applyAlignment="1" applyProtection="1">
      <alignment horizontal="center" vertical="center"/>
      <protection locked="0"/>
    </xf>
    <xf numFmtId="202" fontId="0" fillId="34" borderId="77" xfId="0" applyNumberFormat="1" applyFill="1" applyBorder="1" applyAlignment="1" applyProtection="1">
      <alignment horizontal="right" vertical="center"/>
      <protection locked="0"/>
    </xf>
    <xf numFmtId="202" fontId="0" fillId="34" borderId="54" xfId="0" applyNumberFormat="1" applyFill="1" applyBorder="1" applyAlignment="1" applyProtection="1">
      <alignment vertical="center"/>
      <protection locked="0"/>
    </xf>
    <xf numFmtId="202" fontId="0" fillId="34" borderId="60" xfId="0" applyNumberFormat="1" applyFill="1" applyBorder="1" applyAlignment="1" applyProtection="1">
      <alignment vertical="center"/>
      <protection locked="0"/>
    </xf>
    <xf numFmtId="202" fontId="0" fillId="34" borderId="61" xfId="0" applyNumberFormat="1" applyFill="1" applyBorder="1" applyAlignment="1" applyProtection="1">
      <alignment vertical="center"/>
      <protection locked="0"/>
    </xf>
    <xf numFmtId="202" fontId="0" fillId="34" borderId="70" xfId="0" applyNumberFormat="1" applyFill="1" applyBorder="1" applyAlignment="1" applyProtection="1">
      <alignment vertical="center"/>
      <protection locked="0"/>
    </xf>
    <xf numFmtId="202" fontId="0" fillId="34" borderId="70" xfId="0" applyNumberFormat="1" applyFill="1" applyBorder="1" applyAlignment="1" applyProtection="1">
      <alignment horizontal="right" vertical="center"/>
      <protection locked="0"/>
    </xf>
    <xf numFmtId="196" fontId="0" fillId="34" borderId="69" xfId="0" applyNumberFormat="1" applyFill="1" applyBorder="1" applyAlignment="1" applyProtection="1">
      <alignment horizontal="center" vertical="center"/>
      <protection locked="0"/>
    </xf>
    <xf numFmtId="196" fontId="0" fillId="34" borderId="78" xfId="0" applyNumberFormat="1" applyFill="1" applyBorder="1" applyAlignment="1" applyProtection="1">
      <alignment horizontal="center" vertical="center"/>
      <protection locked="0"/>
    </xf>
    <xf numFmtId="0" fontId="9" fillId="34" borderId="35"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protection locked="0"/>
    </xf>
    <xf numFmtId="0" fontId="8" fillId="34" borderId="49" xfId="0" applyFont="1" applyFill="1" applyBorder="1" applyAlignment="1" applyProtection="1">
      <alignment horizontal="center" vertical="center"/>
      <protection locked="0"/>
    </xf>
    <xf numFmtId="198" fontId="0" fillId="0" borderId="14" xfId="0" applyNumberFormat="1" applyBorder="1" applyAlignment="1">
      <alignment horizontal="left" vertical="center"/>
    </xf>
    <xf numFmtId="198" fontId="0" fillId="0" borderId="0" xfId="0" applyNumberFormat="1" applyFont="1" applyBorder="1" applyAlignment="1">
      <alignment vertical="center"/>
    </xf>
    <xf numFmtId="198" fontId="0" fillId="0" borderId="16" xfId="0" applyNumberFormat="1" applyFont="1" applyBorder="1" applyAlignment="1">
      <alignment vertical="center"/>
    </xf>
    <xf numFmtId="198" fontId="0" fillId="0" borderId="31" xfId="0" applyNumberFormat="1" applyFont="1" applyBorder="1" applyAlignment="1">
      <alignment horizontal="left" vertical="center"/>
    </xf>
    <xf numFmtId="202" fontId="0" fillId="0" borderId="58" xfId="0" applyNumberFormat="1" applyBorder="1" applyAlignment="1">
      <alignment horizontal="center" vertical="center"/>
    </xf>
    <xf numFmtId="202" fontId="0" fillId="0" borderId="50" xfId="0" applyNumberFormat="1" applyBorder="1" applyAlignment="1">
      <alignment vertical="center"/>
    </xf>
    <xf numFmtId="202" fontId="0" fillId="33" borderId="79" xfId="0" applyNumberFormat="1" applyFill="1" applyBorder="1" applyAlignment="1">
      <alignment vertical="center"/>
    </xf>
    <xf numFmtId="202" fontId="0" fillId="33" borderId="50" xfId="0" applyNumberFormat="1" applyFill="1" applyBorder="1" applyAlignment="1">
      <alignment horizontal="center" vertical="center"/>
    </xf>
    <xf numFmtId="202" fontId="0" fillId="33" borderId="69" xfId="0" applyNumberFormat="1" applyFill="1" applyBorder="1" applyAlignment="1">
      <alignment vertical="center"/>
    </xf>
    <xf numFmtId="202" fontId="0" fillId="0" borderId="80" xfId="0" applyNumberFormat="1" applyBorder="1" applyAlignment="1">
      <alignment vertical="center"/>
    </xf>
    <xf numFmtId="202" fontId="0" fillId="0" borderId="75" xfId="0" applyNumberFormat="1" applyBorder="1" applyAlignment="1">
      <alignment horizontal="center" vertical="center"/>
    </xf>
    <xf numFmtId="202" fontId="0" fillId="0" borderId="76" xfId="0" applyNumberFormat="1" applyBorder="1" applyAlignment="1">
      <alignment vertical="center"/>
    </xf>
    <xf numFmtId="202" fontId="0" fillId="0" borderId="78" xfId="0" applyNumberFormat="1" applyBorder="1" applyAlignment="1">
      <alignment vertical="center"/>
    </xf>
    <xf numFmtId="202" fontId="0" fillId="33" borderId="81" xfId="0" applyNumberFormat="1" applyFill="1" applyBorder="1" applyAlignment="1">
      <alignment vertical="center"/>
    </xf>
    <xf numFmtId="202" fontId="0" fillId="33" borderId="76" xfId="0" applyNumberFormat="1" applyFill="1" applyBorder="1" applyAlignment="1">
      <alignment horizontal="center" vertical="center"/>
    </xf>
    <xf numFmtId="202" fontId="0" fillId="33" borderId="80" xfId="0" applyNumberFormat="1" applyFill="1" applyBorder="1" applyAlignment="1">
      <alignment vertical="center"/>
    </xf>
    <xf numFmtId="0" fontId="0" fillId="0" borderId="0" xfId="0" applyAlignment="1" applyProtection="1">
      <alignment vertical="center"/>
      <protection locked="0"/>
    </xf>
    <xf numFmtId="0" fontId="0" fillId="0" borderId="0" xfId="0" applyBorder="1" applyAlignment="1" applyProtection="1">
      <alignment vertical="center"/>
      <protection locked="0"/>
    </xf>
    <xf numFmtId="195" fontId="0" fillId="0" borderId="0" xfId="0" applyNumberFormat="1" applyBorder="1" applyAlignment="1" applyProtection="1">
      <alignment vertical="center"/>
      <protection locked="0"/>
    </xf>
    <xf numFmtId="197" fontId="0" fillId="0" borderId="0" xfId="0" applyNumberForma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0" fillId="0" borderId="0" xfId="0"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top"/>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201" fontId="2" fillId="0" borderId="10" xfId="0" applyNumberFormat="1" applyFont="1" applyBorder="1" applyAlignment="1" applyProtection="1">
      <alignment vertical="center"/>
      <protection locked="0"/>
    </xf>
    <xf numFmtId="201" fontId="2" fillId="0" borderId="13" xfId="0" applyNumberFormat="1" applyFont="1" applyBorder="1" applyAlignment="1" applyProtection="1">
      <alignment vertical="center"/>
      <protection locked="0"/>
    </xf>
    <xf numFmtId="201" fontId="2" fillId="0" borderId="28" xfId="0" applyNumberFormat="1" applyFont="1" applyBorder="1" applyAlignment="1" applyProtection="1">
      <alignment vertical="center"/>
      <protection locked="0"/>
    </xf>
    <xf numFmtId="201" fontId="2" fillId="0" borderId="18" xfId="0" applyNumberFormat="1" applyFont="1" applyBorder="1" applyAlignment="1" applyProtection="1">
      <alignment vertical="center"/>
      <protection locked="0"/>
    </xf>
    <xf numFmtId="201" fontId="2" fillId="0" borderId="29" xfId="0" applyNumberFormat="1" applyFont="1" applyBorder="1" applyAlignment="1" applyProtection="1">
      <alignment vertical="center"/>
      <protection locked="0"/>
    </xf>
    <xf numFmtId="201" fontId="2" fillId="0" borderId="30" xfId="0" applyNumberFormat="1" applyFont="1" applyBorder="1" applyAlignment="1" applyProtection="1">
      <alignment vertical="center"/>
      <protection locked="0"/>
    </xf>
    <xf numFmtId="201" fontId="0" fillId="0" borderId="13" xfId="0" applyNumberFormat="1" applyFont="1" applyBorder="1" applyAlignment="1" applyProtection="1">
      <alignment vertical="center"/>
      <protection locked="0"/>
    </xf>
    <xf numFmtId="0" fontId="0" fillId="0" borderId="18" xfId="0" applyFont="1" applyBorder="1" applyAlignment="1" applyProtection="1">
      <alignment vertical="center"/>
      <protection locked="0"/>
    </xf>
    <xf numFmtId="203" fontId="0" fillId="0" borderId="17" xfId="0" applyNumberFormat="1" applyFont="1" applyBorder="1" applyAlignment="1" applyProtection="1">
      <alignment horizontal="left" vertical="center"/>
      <protection locked="0"/>
    </xf>
    <xf numFmtId="0" fontId="2" fillId="0" borderId="64" xfId="0" applyFont="1" applyBorder="1" applyAlignment="1" applyProtection="1">
      <alignment horizontal="center" vertical="center"/>
      <protection locked="0"/>
    </xf>
    <xf numFmtId="14" fontId="2" fillId="0" borderId="12" xfId="0" applyNumberFormat="1" applyFont="1" applyBorder="1" applyAlignment="1" applyProtection="1">
      <alignment horizontal="center"/>
      <protection locked="0"/>
    </xf>
    <xf numFmtId="201" fontId="2" fillId="0" borderId="12" xfId="0" applyNumberFormat="1" applyFont="1" applyBorder="1" applyAlignment="1" applyProtection="1">
      <alignment vertical="center"/>
      <protection locked="0"/>
    </xf>
    <xf numFmtId="201" fontId="2" fillId="0" borderId="14" xfId="0" applyNumberFormat="1" applyFont="1" applyBorder="1" applyAlignment="1" applyProtection="1">
      <alignment vertical="center"/>
      <protection locked="0"/>
    </xf>
    <xf numFmtId="201" fontId="2" fillId="0" borderId="26" xfId="0" applyNumberFormat="1" applyFont="1" applyBorder="1" applyAlignment="1" applyProtection="1">
      <alignment vertical="center"/>
      <protection locked="0"/>
    </xf>
    <xf numFmtId="201" fontId="2" fillId="0" borderId="0" xfId="0" applyNumberFormat="1" applyFont="1" applyBorder="1" applyAlignment="1" applyProtection="1">
      <alignment vertical="center"/>
      <protection locked="0"/>
    </xf>
    <xf numFmtId="201" fontId="2" fillId="0" borderId="41" xfId="0" applyNumberFormat="1" applyFont="1" applyBorder="1" applyAlignment="1" applyProtection="1">
      <alignment vertical="center"/>
      <protection locked="0"/>
    </xf>
    <xf numFmtId="201" fontId="2" fillId="0" borderId="42" xfId="0" applyNumberFormat="1" applyFont="1" applyBorder="1" applyAlignment="1" applyProtection="1">
      <alignment vertical="center"/>
      <protection locked="0"/>
    </xf>
    <xf numFmtId="196" fontId="0" fillId="0" borderId="14" xfId="0"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center" vertical="center"/>
      <protection locked="0"/>
    </xf>
    <xf numFmtId="196" fontId="0" fillId="0" borderId="20" xfId="0" applyNumberFormat="1"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190" fontId="0" fillId="0" borderId="14" xfId="0" applyNumberFormat="1" applyFont="1" applyBorder="1" applyAlignment="1" applyProtection="1">
      <alignment horizontal="right" vertical="center"/>
      <protection locked="0"/>
    </xf>
    <xf numFmtId="201" fontId="0" fillId="0" borderId="0" xfId="0" applyNumberFormat="1" applyFont="1" applyBorder="1" applyAlignment="1" applyProtection="1">
      <alignment vertical="center"/>
      <protection locked="0"/>
    </xf>
    <xf numFmtId="198" fontId="0" fillId="0" borderId="20" xfId="0" applyNumberFormat="1" applyFont="1" applyBorder="1" applyAlignment="1" applyProtection="1">
      <alignment horizontal="left" vertical="center"/>
      <protection locked="0"/>
    </xf>
    <xf numFmtId="201" fontId="2" fillId="0" borderId="11" xfId="0" applyNumberFormat="1" applyFont="1" applyBorder="1" applyAlignment="1" applyProtection="1">
      <alignment vertical="center"/>
      <protection locked="0"/>
    </xf>
    <xf numFmtId="201" fontId="2" fillId="0" borderId="19" xfId="0" applyNumberFormat="1" applyFont="1" applyBorder="1" applyAlignment="1" applyProtection="1">
      <alignment vertical="center"/>
      <protection locked="0"/>
    </xf>
    <xf numFmtId="201" fontId="2" fillId="0" borderId="43" xfId="0" applyNumberFormat="1" applyFont="1" applyBorder="1" applyAlignment="1" applyProtection="1">
      <alignment horizontal="right" vertical="center"/>
      <protection locked="0"/>
    </xf>
    <xf numFmtId="201" fontId="2" fillId="0" borderId="44" xfId="0" applyNumberFormat="1" applyFont="1" applyBorder="1" applyAlignment="1" applyProtection="1">
      <alignment vertical="center"/>
      <protection locked="0"/>
    </xf>
    <xf numFmtId="201" fontId="2" fillId="0" borderId="31" xfId="0" applyNumberFormat="1" applyFont="1" applyBorder="1" applyAlignment="1" applyProtection="1">
      <alignment vertical="center"/>
      <protection locked="0"/>
    </xf>
    <xf numFmtId="199" fontId="0" fillId="0" borderId="20" xfId="0" applyNumberFormat="1" applyFont="1" applyBorder="1" applyAlignment="1" applyProtection="1">
      <alignment horizontal="left" vertical="center"/>
      <protection locked="0"/>
    </xf>
    <xf numFmtId="0" fontId="0" fillId="0" borderId="17" xfId="0" applyFont="1" applyBorder="1" applyAlignment="1" applyProtection="1">
      <alignment vertical="center"/>
      <protection locked="0"/>
    </xf>
    <xf numFmtId="201" fontId="2" fillId="0" borderId="43" xfId="0" applyNumberFormat="1" applyFont="1" applyBorder="1" applyAlignment="1" applyProtection="1">
      <alignment vertical="center"/>
      <protection locked="0"/>
    </xf>
    <xf numFmtId="0" fontId="0" fillId="0" borderId="18" xfId="0" applyNumberFormat="1" applyFont="1" applyBorder="1" applyAlignment="1" applyProtection="1">
      <alignment vertical="center"/>
      <protection locked="0"/>
    </xf>
    <xf numFmtId="0" fontId="0" fillId="0" borderId="17" xfId="0" applyNumberFormat="1" applyFont="1" applyBorder="1" applyAlignment="1" applyProtection="1">
      <alignment vertical="center"/>
      <protection locked="0"/>
    </xf>
    <xf numFmtId="0" fontId="0" fillId="0" borderId="10" xfId="0" applyBorder="1" applyAlignment="1" applyProtection="1">
      <alignment vertical="center"/>
      <protection locked="0"/>
    </xf>
    <xf numFmtId="14" fontId="2" fillId="0" borderId="12" xfId="0" applyNumberFormat="1" applyFont="1" applyBorder="1" applyAlignment="1" applyProtection="1">
      <alignment horizontal="center" vertical="center"/>
      <protection locked="0"/>
    </xf>
    <xf numFmtId="190" fontId="0" fillId="0" borderId="19" xfId="0" applyNumberFormat="1" applyFont="1" applyBorder="1" applyAlignment="1" applyProtection="1">
      <alignment horizontal="right" vertical="center"/>
      <protection locked="0"/>
    </xf>
    <xf numFmtId="201" fontId="0" fillId="0" borderId="16" xfId="0" applyNumberFormat="1" applyFont="1" applyBorder="1" applyAlignment="1" applyProtection="1">
      <alignment vertical="center"/>
      <protection locked="0"/>
    </xf>
    <xf numFmtId="199" fontId="0" fillId="0" borderId="21" xfId="0" applyNumberFormat="1" applyFont="1" applyBorder="1" applyAlignment="1" applyProtection="1">
      <alignment horizontal="left" vertical="center"/>
      <protection locked="0"/>
    </xf>
    <xf numFmtId="0" fontId="2" fillId="0" borderId="65" xfId="0" applyFont="1" applyBorder="1" applyAlignment="1" applyProtection="1">
      <alignment horizontal="center" vertical="center"/>
      <protection locked="0"/>
    </xf>
    <xf numFmtId="189" fontId="0" fillId="0" borderId="14"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187" fontId="0" fillId="0" borderId="20" xfId="0" applyNumberForma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8" xfId="0" applyBorder="1" applyAlignment="1" applyProtection="1">
      <alignment vertical="center"/>
      <protection locked="0"/>
    </xf>
    <xf numFmtId="0" fontId="0" fillId="0" borderId="17" xfId="0" applyBorder="1" applyAlignment="1" applyProtection="1">
      <alignment vertical="center"/>
      <protection locked="0"/>
    </xf>
    <xf numFmtId="0" fontId="2" fillId="0" borderId="39" xfId="0" applyFont="1" applyBorder="1" applyAlignment="1" applyProtection="1">
      <alignment horizontal="center" vertical="center"/>
      <protection locked="0"/>
    </xf>
    <xf numFmtId="196" fontId="0" fillId="0" borderId="14" xfId="0" applyNumberFormat="1" applyBorder="1" applyAlignment="1" applyProtection="1">
      <alignment horizontal="center" vertical="center"/>
      <protection locked="0"/>
    </xf>
    <xf numFmtId="196" fontId="0" fillId="0" borderId="20" xfId="0" applyNumberFormat="1" applyBorder="1" applyAlignment="1" applyProtection="1">
      <alignment horizontal="center" vertical="center"/>
      <protection locked="0"/>
    </xf>
    <xf numFmtId="190" fontId="0" fillId="0" borderId="14" xfId="0" applyNumberForma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201" fontId="2" fillId="0" borderId="16" xfId="0" applyNumberFormat="1" applyFont="1" applyBorder="1" applyAlignment="1" applyProtection="1">
      <alignment vertical="center"/>
      <protection locked="0"/>
    </xf>
    <xf numFmtId="189" fontId="0" fillId="0" borderId="19"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2" fillId="0" borderId="25" xfId="0" applyFont="1" applyBorder="1" applyAlignment="1" applyProtection="1">
      <alignment horizontal="center"/>
      <protection locked="0"/>
    </xf>
    <xf numFmtId="187" fontId="0" fillId="0" borderId="21" xfId="0" applyNumberForma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201" fontId="2" fillId="0" borderId="15" xfId="0" applyNumberFormat="1" applyFont="1" applyBorder="1" applyAlignment="1" applyProtection="1">
      <alignment vertical="center"/>
      <protection locked="0"/>
    </xf>
    <xf numFmtId="201" fontId="2" fillId="0" borderId="45" xfId="0" applyNumberFormat="1" applyFont="1" applyBorder="1" applyAlignment="1" applyProtection="1">
      <alignment vertical="center"/>
      <protection locked="0"/>
    </xf>
    <xf numFmtId="201" fontId="2" fillId="0" borderId="46" xfId="0" applyNumberFormat="1" applyFont="1" applyBorder="1" applyAlignment="1" applyProtection="1">
      <alignment vertical="center"/>
      <protection locked="0"/>
    </xf>
    <xf numFmtId="201" fontId="2" fillId="0" borderId="47" xfId="0" applyNumberFormat="1" applyFont="1" applyBorder="1" applyAlignment="1" applyProtection="1">
      <alignment vertical="center"/>
      <protection locked="0"/>
    </xf>
    <xf numFmtId="0" fontId="0" fillId="0" borderId="15" xfId="0" applyBorder="1" applyAlignment="1" applyProtection="1">
      <alignment vertical="center"/>
      <protection locked="0"/>
    </xf>
    <xf numFmtId="189" fontId="0" fillId="0" borderId="22"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187" fontId="0" fillId="0" borderId="24" xfId="0" applyNumberForma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198" fontId="0" fillId="0" borderId="20" xfId="0" applyNumberFormat="1" applyBorder="1" applyAlignment="1" applyProtection="1">
      <alignment horizontal="center" vertical="center"/>
      <protection locked="0"/>
    </xf>
    <xf numFmtId="190" fontId="0" fillId="0" borderId="19" xfId="0" applyNumberFormat="1" applyBorder="1" applyAlignment="1" applyProtection="1">
      <alignment horizontal="center" vertical="center"/>
      <protection locked="0"/>
    </xf>
    <xf numFmtId="199" fontId="0" fillId="0" borderId="21"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89" fontId="0" fillId="0" borderId="0" xfId="0" applyNumberFormat="1" applyBorder="1" applyAlignment="1" applyProtection="1">
      <alignment horizontal="center" vertical="center"/>
      <protection locked="0"/>
    </xf>
    <xf numFmtId="187" fontId="0" fillId="0" borderId="0"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vertical="center"/>
      <protection locked="0"/>
    </xf>
    <xf numFmtId="195" fontId="0" fillId="0" borderId="16" xfId="0" applyNumberFormat="1" applyBorder="1" applyAlignment="1" applyProtection="1">
      <alignment vertical="center"/>
      <protection locked="0"/>
    </xf>
    <xf numFmtId="197" fontId="0" fillId="0" borderId="16" xfId="0" applyNumberFormat="1" applyBorder="1" applyAlignment="1" applyProtection="1">
      <alignment vertical="center"/>
      <protection locked="0"/>
    </xf>
    <xf numFmtId="189" fontId="0" fillId="0" borderId="16" xfId="0" applyNumberFormat="1" applyBorder="1" applyAlignment="1" applyProtection="1">
      <alignment horizontal="center" vertical="center"/>
      <protection locked="0"/>
    </xf>
    <xf numFmtId="187" fontId="0" fillId="0" borderId="16" xfId="0" applyNumberForma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201" fontId="4" fillId="0" borderId="10" xfId="0" applyNumberFormat="1" applyFont="1" applyBorder="1" applyAlignment="1" applyProtection="1">
      <alignment vertical="center"/>
      <protection locked="0"/>
    </xf>
    <xf numFmtId="201" fontId="4" fillId="0" borderId="13" xfId="0" applyNumberFormat="1" applyFont="1" applyBorder="1" applyAlignment="1" applyProtection="1">
      <alignment vertical="center"/>
      <protection locked="0"/>
    </xf>
    <xf numFmtId="201" fontId="4" fillId="0" borderId="28" xfId="0" applyNumberFormat="1" applyFont="1" applyBorder="1" applyAlignment="1" applyProtection="1">
      <alignment vertical="center"/>
      <protection locked="0"/>
    </xf>
    <xf numFmtId="201" fontId="4" fillId="0" borderId="18" xfId="0" applyNumberFormat="1" applyFont="1" applyBorder="1" applyAlignment="1" applyProtection="1">
      <alignment vertical="center"/>
      <protection locked="0"/>
    </xf>
    <xf numFmtId="201" fontId="4" fillId="0" borderId="29" xfId="0" applyNumberFormat="1" applyFont="1" applyBorder="1" applyAlignment="1" applyProtection="1">
      <alignment vertical="center"/>
      <protection locked="0"/>
    </xf>
    <xf numFmtId="201" fontId="4" fillId="0" borderId="30" xfId="0" applyNumberFormat="1" applyFont="1" applyBorder="1" applyAlignment="1" applyProtection="1">
      <alignment vertical="center"/>
      <protection locked="0"/>
    </xf>
    <xf numFmtId="0" fontId="5" fillId="0" borderId="13" xfId="0" applyFont="1" applyBorder="1" applyAlignment="1" applyProtection="1">
      <alignment vertical="center"/>
      <protection locked="0"/>
    </xf>
    <xf numFmtId="206" fontId="0" fillId="0" borderId="28" xfId="0" applyNumberForma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196" fontId="0" fillId="0" borderId="0" xfId="0" applyNumberFormat="1" applyBorder="1" applyAlignment="1" applyProtection="1">
      <alignment horizontal="center" vertical="center"/>
      <protection locked="0"/>
    </xf>
    <xf numFmtId="196" fontId="0" fillId="0" borderId="26"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190" fontId="0" fillId="0" borderId="0" xfId="0" applyNumberFormat="1" applyBorder="1" applyAlignment="1" applyProtection="1">
      <alignment horizontal="center" vertical="center"/>
      <protection locked="0"/>
    </xf>
    <xf numFmtId="198" fontId="0" fillId="0" borderId="26" xfId="0" applyNumberFormat="1" applyBorder="1" applyAlignment="1" applyProtection="1">
      <alignment horizontal="center" vertical="center"/>
      <protection locked="0"/>
    </xf>
    <xf numFmtId="199" fontId="0" fillId="0" borderId="26" xfId="0" applyNumberForma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201" fontId="0" fillId="0" borderId="27" xfId="0" applyNumberFormat="1" applyBorder="1" applyAlignment="1" applyProtection="1">
      <alignment vertical="center"/>
      <protection locked="0"/>
    </xf>
    <xf numFmtId="0" fontId="4" fillId="0" borderId="27" xfId="0" applyFont="1" applyBorder="1" applyAlignment="1" applyProtection="1">
      <alignment horizontal="center" vertical="center"/>
      <protection locked="0"/>
    </xf>
    <xf numFmtId="189" fontId="0" fillId="0" borderId="27" xfId="0" applyNumberFormat="1" applyBorder="1" applyAlignment="1" applyProtection="1">
      <alignment horizontal="center" vertical="center"/>
      <protection locked="0"/>
    </xf>
    <xf numFmtId="196" fontId="0" fillId="0" borderId="27" xfId="0" applyNumberFormat="1" applyBorder="1" applyAlignment="1" applyProtection="1">
      <alignment horizontal="center" vertical="center"/>
      <protection locked="0"/>
    </xf>
    <xf numFmtId="187" fontId="0" fillId="0" borderId="27" xfId="0" applyNumberFormat="1" applyBorder="1" applyAlignment="1" applyProtection="1">
      <alignment horizontal="center" vertical="center"/>
      <protection locked="0"/>
    </xf>
    <xf numFmtId="190" fontId="0" fillId="0" borderId="16" xfId="0" applyNumberFormat="1" applyBorder="1" applyAlignment="1" applyProtection="1">
      <alignment horizontal="center" vertical="center"/>
      <protection locked="0"/>
    </xf>
    <xf numFmtId="196" fontId="0" fillId="0" borderId="16" xfId="0" applyNumberFormat="1" applyBorder="1" applyAlignment="1" applyProtection="1">
      <alignment horizontal="center" vertical="center"/>
      <protection locked="0"/>
    </xf>
    <xf numFmtId="199" fontId="0" fillId="0" borderId="31" xfId="0" applyNumberForma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31" borderId="35" xfId="0" applyFont="1" applyFill="1" applyBorder="1" applyAlignment="1">
      <alignment vertical="center"/>
    </xf>
    <xf numFmtId="0" fontId="0" fillId="31" borderId="0" xfId="0" applyFont="1" applyFill="1" applyAlignment="1">
      <alignment vertical="center"/>
    </xf>
    <xf numFmtId="0" fontId="2" fillId="31" borderId="82" xfId="0" applyFont="1" applyFill="1" applyBorder="1" applyAlignment="1">
      <alignment horizontal="center" vertical="center"/>
    </xf>
    <xf numFmtId="0" fontId="2" fillId="31" borderId="83" xfId="0" applyFont="1" applyFill="1" applyBorder="1" applyAlignment="1">
      <alignment horizontal="center" vertical="center"/>
    </xf>
    <xf numFmtId="0" fontId="2" fillId="31" borderId="84" xfId="0" applyFont="1" applyFill="1" applyBorder="1" applyAlignment="1">
      <alignment horizontal="center" vertical="center"/>
    </xf>
    <xf numFmtId="0" fontId="2" fillId="31" borderId="85" xfId="0" applyFont="1" applyFill="1" applyBorder="1" applyAlignment="1">
      <alignment horizontal="center" vertical="center"/>
    </xf>
    <xf numFmtId="0" fontId="2" fillId="31" borderId="0" xfId="0" applyFont="1" applyFill="1" applyAlignment="1">
      <alignment horizontal="center" vertical="center"/>
    </xf>
    <xf numFmtId="0" fontId="0" fillId="31" borderId="73" xfId="0" applyFont="1" applyFill="1" applyBorder="1" applyAlignment="1">
      <alignment vertical="center"/>
    </xf>
    <xf numFmtId="0" fontId="0" fillId="31" borderId="74" xfId="0" applyFont="1" applyFill="1" applyBorder="1" applyAlignment="1">
      <alignment vertical="center"/>
    </xf>
    <xf numFmtId="0" fontId="0" fillId="31" borderId="77" xfId="0" applyFont="1" applyFill="1" applyBorder="1" applyAlignment="1">
      <alignment vertical="center"/>
    </xf>
    <xf numFmtId="0" fontId="0" fillId="31" borderId="86" xfId="0" applyFont="1" applyFill="1" applyBorder="1" applyAlignment="1">
      <alignment vertical="center"/>
    </xf>
    <xf numFmtId="202" fontId="0" fillId="0" borderId="0" xfId="0" applyNumberFormat="1" applyFill="1" applyBorder="1" applyAlignment="1">
      <alignment horizontal="center" vertical="center"/>
    </xf>
    <xf numFmtId="202" fontId="0" fillId="0" borderId="0" xfId="0" applyNumberFormat="1" applyFill="1" applyBorder="1" applyAlignment="1" applyProtection="1">
      <alignment vertical="center"/>
      <protection locked="0"/>
    </xf>
    <xf numFmtId="202"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vertical="center"/>
    </xf>
    <xf numFmtId="0" fontId="0" fillId="0" borderId="27" xfId="0" applyFill="1" applyBorder="1" applyAlignment="1">
      <alignment horizontal="center" vertical="center"/>
    </xf>
    <xf numFmtId="202" fontId="0" fillId="0" borderId="12" xfId="0" applyNumberFormat="1" applyBorder="1" applyAlignment="1">
      <alignment vertical="center"/>
    </xf>
    <xf numFmtId="202" fontId="0" fillId="0" borderId="14" xfId="0" applyNumberFormat="1" applyBorder="1" applyAlignment="1">
      <alignment horizontal="center" vertical="center"/>
    </xf>
    <xf numFmtId="202" fontId="0" fillId="0" borderId="12" xfId="0" applyNumberFormat="1" applyBorder="1" applyAlignment="1">
      <alignment horizontal="center" vertical="center"/>
    </xf>
    <xf numFmtId="202" fontId="0" fillId="0" borderId="26" xfId="0" applyNumberFormat="1" applyBorder="1" applyAlignment="1">
      <alignment horizontal="center" vertical="center"/>
    </xf>
    <xf numFmtId="202" fontId="0" fillId="0" borderId="11" xfId="0" applyNumberFormat="1" applyBorder="1" applyAlignment="1">
      <alignment horizontal="center" vertical="center"/>
    </xf>
    <xf numFmtId="202" fontId="0" fillId="0" borderId="27" xfId="0" applyNumberFormat="1" applyFill="1" applyBorder="1" applyAlignment="1">
      <alignment vertical="center"/>
    </xf>
    <xf numFmtId="202" fontId="0" fillId="0" borderId="27" xfId="0" applyNumberFormat="1" applyFill="1" applyBorder="1" applyAlignment="1" applyProtection="1">
      <alignment horizontal="right" vertical="center"/>
      <protection locked="0"/>
    </xf>
    <xf numFmtId="0" fontId="0" fillId="0" borderId="27" xfId="0" applyFill="1" applyBorder="1" applyAlignment="1" applyProtection="1">
      <alignment horizontal="center" vertical="center"/>
      <protection locked="0"/>
    </xf>
    <xf numFmtId="196" fontId="0" fillId="0" borderId="0" xfId="0" applyNumberFormat="1" applyFill="1" applyBorder="1" applyAlignment="1" applyProtection="1">
      <alignment horizontal="center" vertical="center"/>
      <protection locked="0"/>
    </xf>
    <xf numFmtId="196" fontId="0" fillId="34" borderId="49" xfId="0" applyNumberFormat="1" applyFill="1" applyBorder="1" applyAlignment="1" applyProtection="1">
      <alignment horizontal="center" vertical="center"/>
      <protection locked="0"/>
    </xf>
    <xf numFmtId="196" fontId="0" fillId="34" borderId="87" xfId="0" applyNumberFormat="1" applyFill="1" applyBorder="1" applyAlignment="1" applyProtection="1">
      <alignment horizontal="center" vertical="center"/>
      <protection locked="0"/>
    </xf>
    <xf numFmtId="0" fontId="0" fillId="0" borderId="35" xfId="0" applyBorder="1" applyAlignment="1">
      <alignment vertical="center"/>
    </xf>
    <xf numFmtId="202" fontId="0" fillId="34" borderId="35" xfId="0" applyNumberFormat="1" applyFill="1" applyBorder="1" applyAlignment="1">
      <alignment vertical="center"/>
    </xf>
    <xf numFmtId="202" fontId="0" fillId="0" borderId="35" xfId="0" applyNumberFormat="1" applyFill="1" applyBorder="1" applyAlignment="1">
      <alignment vertical="center"/>
    </xf>
    <xf numFmtId="202" fontId="0" fillId="0" borderId="35" xfId="0" applyNumberFormat="1" applyFill="1" applyBorder="1" applyAlignment="1">
      <alignment horizontal="right" vertical="center"/>
    </xf>
    <xf numFmtId="202" fontId="0" fillId="34" borderId="35" xfId="0" applyNumberFormat="1" applyFill="1" applyBorder="1" applyAlignment="1" applyProtection="1">
      <alignment horizontal="right" vertical="center"/>
      <protection locked="0"/>
    </xf>
    <xf numFmtId="0" fontId="0" fillId="34" borderId="35" xfId="0" applyFill="1" applyBorder="1" applyAlignment="1" applyProtection="1">
      <alignment horizontal="center" vertical="center"/>
      <protection locked="0"/>
    </xf>
    <xf numFmtId="196" fontId="0" fillId="34" borderId="19" xfId="0" applyNumberFormat="1" applyFill="1" applyBorder="1" applyAlignment="1" applyProtection="1">
      <alignment horizontal="center" vertical="center"/>
      <protection locked="0"/>
    </xf>
    <xf numFmtId="196" fontId="0" fillId="34" borderId="31" xfId="0" applyNumberFormat="1" applyFill="1" applyBorder="1" applyAlignment="1" applyProtection="1">
      <alignment horizontal="center" vertical="center"/>
      <protection locked="0"/>
    </xf>
    <xf numFmtId="0" fontId="22" fillId="0" borderId="0" xfId="0" applyFont="1" applyAlignment="1">
      <alignment vertical="center"/>
    </xf>
    <xf numFmtId="0" fontId="22" fillId="0" borderId="49" xfId="0" applyFont="1" applyBorder="1" applyAlignment="1">
      <alignment horizontal="left" vertical="center" wrapText="1"/>
    </xf>
    <xf numFmtId="0" fontId="22" fillId="0" borderId="35" xfId="0" applyFont="1" applyBorder="1" applyAlignment="1">
      <alignment horizontal="center" vertical="center"/>
    </xf>
    <xf numFmtId="0" fontId="22" fillId="0" borderId="13" xfId="0" applyFont="1" applyBorder="1" applyAlignment="1">
      <alignment horizontal="right" vertical="center" wrapText="1"/>
    </xf>
    <xf numFmtId="0" fontId="22" fillId="0" borderId="10" xfId="0" applyFont="1" applyBorder="1" applyAlignment="1">
      <alignment horizontal="right"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38" fontId="22" fillId="0" borderId="13" xfId="48" applyFont="1" applyBorder="1" applyAlignment="1">
      <alignment horizontal="center" vertical="center"/>
    </xf>
    <xf numFmtId="38" fontId="22" fillId="0" borderId="10" xfId="48" applyFont="1" applyBorder="1" applyAlignment="1">
      <alignment horizontal="center" vertical="center"/>
    </xf>
    <xf numFmtId="38" fontId="22" fillId="0" borderId="18" xfId="48" applyFont="1" applyBorder="1" applyAlignment="1">
      <alignment horizontal="center" vertical="center"/>
    </xf>
    <xf numFmtId="38" fontId="22" fillId="0" borderId="14" xfId="48" applyFont="1" applyBorder="1" applyAlignment="1">
      <alignment horizontal="center" vertical="center"/>
    </xf>
    <xf numFmtId="38" fontId="22" fillId="0" borderId="12" xfId="48" applyFont="1" applyBorder="1" applyAlignment="1">
      <alignment horizontal="center" vertical="center"/>
    </xf>
    <xf numFmtId="38" fontId="22" fillId="0" borderId="0" xfId="48" applyFont="1" applyBorder="1" applyAlignment="1">
      <alignment horizontal="center" vertical="center"/>
    </xf>
    <xf numFmtId="38" fontId="22" fillId="0" borderId="19" xfId="48" applyFont="1" applyBorder="1" applyAlignment="1">
      <alignment horizontal="center" vertical="center"/>
    </xf>
    <xf numFmtId="38" fontId="22" fillId="0" borderId="11" xfId="48" applyFont="1" applyBorder="1" applyAlignment="1">
      <alignment horizontal="center" vertical="center"/>
    </xf>
    <xf numFmtId="38" fontId="22" fillId="0" borderId="16" xfId="48" applyFont="1" applyBorder="1" applyAlignment="1">
      <alignment horizontal="center" vertical="center"/>
    </xf>
    <xf numFmtId="38" fontId="22" fillId="0" borderId="28" xfId="48" applyFont="1" applyBorder="1" applyAlignment="1">
      <alignment horizontal="center" vertical="center"/>
    </xf>
    <xf numFmtId="38" fontId="22" fillId="0" borderId="0" xfId="48" applyFont="1" applyAlignment="1">
      <alignment horizontal="center" vertical="center"/>
    </xf>
    <xf numFmtId="38" fontId="22" fillId="0" borderId="26" xfId="48" applyFont="1" applyBorder="1" applyAlignment="1">
      <alignment horizontal="center" vertical="center"/>
    </xf>
    <xf numFmtId="38" fontId="22" fillId="0" borderId="31" xfId="48" applyFont="1" applyBorder="1" applyAlignment="1">
      <alignment horizontal="center" vertical="center"/>
    </xf>
    <xf numFmtId="38" fontId="22" fillId="0" borderId="12" xfId="48" applyFont="1" applyFill="1" applyBorder="1" applyAlignment="1">
      <alignment horizontal="center" vertical="center"/>
    </xf>
    <xf numFmtId="0" fontId="0" fillId="0" borderId="27" xfId="0" applyBorder="1" applyAlignment="1">
      <alignment vertical="center"/>
    </xf>
    <xf numFmtId="0" fontId="0" fillId="0" borderId="87" xfId="0" applyBorder="1" applyAlignment="1">
      <alignment horizontal="center" vertical="center"/>
    </xf>
    <xf numFmtId="0" fontId="0" fillId="0" borderId="35" xfId="0" applyFill="1" applyBorder="1" applyAlignment="1">
      <alignment vertical="center"/>
    </xf>
    <xf numFmtId="202" fontId="0" fillId="34" borderId="11" xfId="0" applyNumberFormat="1" applyFill="1" applyBorder="1" applyAlignment="1">
      <alignment vertical="center"/>
    </xf>
    <xf numFmtId="0" fontId="24" fillId="0" borderId="0" xfId="0" applyFont="1" applyAlignment="1">
      <alignment vertical="center"/>
    </xf>
    <xf numFmtId="0" fontId="25" fillId="33" borderId="0" xfId="0" applyFont="1" applyFill="1" applyAlignment="1">
      <alignment vertical="center"/>
    </xf>
    <xf numFmtId="202" fontId="0" fillId="34" borderId="35" xfId="0" applyNumberFormat="1" applyFill="1" applyBorder="1" applyAlignment="1">
      <alignment horizontal="right" vertical="center"/>
    </xf>
    <xf numFmtId="0" fontId="4" fillId="0" borderId="12" xfId="0" applyFont="1" applyBorder="1" applyAlignment="1">
      <alignment horizontal="left" vertical="center"/>
    </xf>
    <xf numFmtId="201" fontId="4" fillId="0" borderId="12" xfId="0" applyNumberFormat="1" applyFont="1" applyBorder="1" applyAlignment="1">
      <alignment vertical="center"/>
    </xf>
    <xf numFmtId="201" fontId="4" fillId="0" borderId="14" xfId="0" applyNumberFormat="1" applyFont="1" applyBorder="1" applyAlignment="1">
      <alignment vertical="center"/>
    </xf>
    <xf numFmtId="201" fontId="4" fillId="0" borderId="26" xfId="0" applyNumberFormat="1" applyFont="1" applyBorder="1" applyAlignment="1">
      <alignment vertical="center"/>
    </xf>
    <xf numFmtId="201" fontId="4" fillId="0" borderId="0" xfId="0" applyNumberFormat="1" applyFont="1" applyBorder="1" applyAlignment="1">
      <alignment vertical="center"/>
    </xf>
    <xf numFmtId="201" fontId="4" fillId="0" borderId="41" xfId="0" applyNumberFormat="1" applyFont="1" applyBorder="1" applyAlignment="1">
      <alignment vertical="center"/>
    </xf>
    <xf numFmtId="201" fontId="4" fillId="0" borderId="42" xfId="0" applyNumberFormat="1" applyFont="1" applyBorder="1" applyAlignment="1">
      <alignment vertical="center"/>
    </xf>
    <xf numFmtId="0" fontId="5" fillId="0" borderId="14" xfId="0" applyFont="1" applyBorder="1" applyAlignment="1">
      <alignment vertical="center"/>
    </xf>
    <xf numFmtId="206" fontId="0" fillId="0" borderId="26" xfId="0" applyNumberFormat="1" applyBorder="1" applyAlignment="1">
      <alignment horizontal="left" vertical="center"/>
    </xf>
    <xf numFmtId="202" fontId="0" fillId="34" borderId="49" xfId="0" applyNumberFormat="1" applyFill="1" applyBorder="1" applyAlignment="1">
      <alignment horizontal="right" vertical="center"/>
    </xf>
    <xf numFmtId="0" fontId="0" fillId="0" borderId="0" xfId="0" applyNumberFormat="1" applyBorder="1" applyAlignment="1">
      <alignment vertical="center"/>
    </xf>
    <xf numFmtId="0" fontId="0" fillId="31" borderId="74" xfId="0" applyFill="1" applyBorder="1" applyAlignment="1">
      <alignment vertical="center"/>
    </xf>
    <xf numFmtId="0" fontId="2" fillId="31" borderId="18" xfId="0" applyFont="1" applyFill="1" applyBorder="1" applyAlignment="1">
      <alignment horizontal="center" vertical="center"/>
    </xf>
    <xf numFmtId="0" fontId="0" fillId="31" borderId="0" xfId="0" applyFill="1" applyAlignment="1">
      <alignment vertical="center"/>
    </xf>
    <xf numFmtId="0" fontId="0" fillId="34" borderId="0" xfId="0" applyFill="1" applyAlignment="1">
      <alignment vertical="center"/>
    </xf>
    <xf numFmtId="0" fontId="0" fillId="0" borderId="0" xfId="0" applyFill="1" applyAlignment="1" applyProtection="1">
      <alignment vertical="center"/>
      <protection locked="0"/>
    </xf>
    <xf numFmtId="0" fontId="0" fillId="34" borderId="58" xfId="0" applyFill="1" applyBorder="1" applyAlignment="1">
      <alignment horizontal="center" vertical="center"/>
    </xf>
    <xf numFmtId="0" fontId="0" fillId="34" borderId="50" xfId="0" applyFill="1" applyBorder="1" applyAlignment="1">
      <alignment horizontal="center" vertical="center"/>
    </xf>
    <xf numFmtId="0" fontId="0" fillId="34" borderId="69" xfId="0" applyFill="1" applyBorder="1" applyAlignment="1">
      <alignment horizontal="center" vertical="center"/>
    </xf>
    <xf numFmtId="0" fontId="0" fillId="34" borderId="35" xfId="0" applyFill="1" applyBorder="1" applyAlignment="1">
      <alignment vertical="center"/>
    </xf>
    <xf numFmtId="0" fontId="0" fillId="35" borderId="35" xfId="0" applyFill="1" applyBorder="1" applyAlignment="1" applyProtection="1">
      <alignment vertical="center"/>
      <protection locked="0"/>
    </xf>
    <xf numFmtId="0" fontId="0" fillId="35" borderId="59" xfId="0" applyFill="1" applyBorder="1" applyAlignment="1">
      <alignment horizontal="center" vertical="center"/>
    </xf>
    <xf numFmtId="0" fontId="0" fillId="35" borderId="88" xfId="0" applyFill="1" applyBorder="1" applyAlignment="1">
      <alignment vertical="center"/>
    </xf>
    <xf numFmtId="0" fontId="0" fillId="35" borderId="89" xfId="0" applyFill="1" applyBorder="1" applyAlignment="1">
      <alignment vertical="center"/>
    </xf>
    <xf numFmtId="0" fontId="62" fillId="33" borderId="90" xfId="0" applyFont="1" applyFill="1" applyBorder="1" applyAlignment="1">
      <alignment vertical="center" wrapText="1"/>
    </xf>
    <xf numFmtId="0" fontId="62" fillId="33" borderId="91" xfId="0" applyFont="1" applyFill="1" applyBorder="1" applyAlignment="1">
      <alignment vertical="center" wrapText="1"/>
    </xf>
    <xf numFmtId="0" fontId="62" fillId="33" borderId="92" xfId="0" applyFont="1" applyFill="1" applyBorder="1" applyAlignment="1">
      <alignment vertical="center" wrapText="1"/>
    </xf>
    <xf numFmtId="0" fontId="62" fillId="33" borderId="93" xfId="0" applyFont="1" applyFill="1" applyBorder="1" applyAlignment="1">
      <alignment vertical="center" wrapText="1"/>
    </xf>
    <xf numFmtId="0" fontId="62" fillId="33" borderId="23" xfId="0" applyFont="1" applyFill="1" applyBorder="1" applyAlignment="1">
      <alignment vertical="center" wrapText="1"/>
    </xf>
    <xf numFmtId="0" fontId="62" fillId="33" borderId="24" xfId="0" applyFont="1" applyFill="1" applyBorder="1" applyAlignment="1">
      <alignment vertical="center" wrapText="1"/>
    </xf>
    <xf numFmtId="0" fontId="11" fillId="36" borderId="94" xfId="0" applyFont="1" applyFill="1" applyBorder="1" applyAlignment="1">
      <alignment horizontal="center" vertical="center"/>
    </xf>
    <xf numFmtId="0" fontId="12" fillId="36" borderId="95" xfId="0" applyFont="1" applyFill="1" applyBorder="1" applyAlignment="1">
      <alignment horizontal="center" vertical="center"/>
    </xf>
    <xf numFmtId="0" fontId="12" fillId="36" borderId="96" xfId="0" applyFont="1" applyFill="1" applyBorder="1" applyAlignment="1">
      <alignment horizontal="center" vertical="center"/>
    </xf>
    <xf numFmtId="0" fontId="12" fillId="36" borderId="97" xfId="0" applyFont="1" applyFill="1" applyBorder="1" applyAlignment="1">
      <alignment horizontal="center" vertical="center"/>
    </xf>
    <xf numFmtId="0" fontId="12" fillId="36" borderId="98" xfId="0" applyFont="1" applyFill="1" applyBorder="1" applyAlignment="1">
      <alignment horizontal="center" vertical="center"/>
    </xf>
    <xf numFmtId="0" fontId="12" fillId="36" borderId="99" xfId="0" applyFont="1" applyFill="1" applyBorder="1" applyAlignment="1">
      <alignment horizontal="center" vertical="center"/>
    </xf>
    <xf numFmtId="14" fontId="2" fillId="0" borderId="12"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201" fontId="2" fillId="0" borderId="14" xfId="0" applyNumberFormat="1" applyFont="1" applyBorder="1" applyAlignment="1" applyProtection="1">
      <alignment vertical="center"/>
      <protection locked="0"/>
    </xf>
    <xf numFmtId="201" fontId="2" fillId="0" borderId="26" xfId="0" applyNumberFormat="1" applyFont="1" applyBorder="1" applyAlignment="1" applyProtection="1">
      <alignment vertical="center"/>
      <protection locked="0"/>
    </xf>
    <xf numFmtId="201" fontId="0" fillId="0" borderId="13" xfId="0" applyNumberFormat="1" applyFont="1" applyBorder="1" applyAlignment="1">
      <alignment horizontal="center" vertical="center" shrinkToFit="1"/>
    </xf>
    <xf numFmtId="201" fontId="0" fillId="0" borderId="18" xfId="0" applyNumberFormat="1" applyFont="1" applyBorder="1" applyAlignment="1">
      <alignment horizontal="center" vertical="center" shrinkToFit="1"/>
    </xf>
    <xf numFmtId="201" fontId="0" fillId="0" borderId="17" xfId="0" applyNumberFormat="1" applyFont="1"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201" fontId="2" fillId="0" borderId="19" xfId="0" applyNumberFormat="1" applyFont="1" applyBorder="1" applyAlignment="1" applyProtection="1">
      <alignment vertical="center"/>
      <protection locked="0"/>
    </xf>
    <xf numFmtId="201" fontId="2" fillId="0" borderId="100" xfId="0" applyNumberFormat="1" applyFont="1" applyBorder="1" applyAlignment="1" applyProtection="1">
      <alignment vertical="center"/>
      <protection locked="0"/>
    </xf>
    <xf numFmtId="201" fontId="4" fillId="0" borderId="13" xfId="0" applyNumberFormat="1" applyFont="1" applyBorder="1" applyAlignment="1" applyProtection="1">
      <alignment vertical="center"/>
      <protection locked="0"/>
    </xf>
    <xf numFmtId="201" fontId="4" fillId="0" borderId="28" xfId="0" applyNumberFormat="1" applyFont="1" applyBorder="1" applyAlignment="1" applyProtection="1">
      <alignment vertical="center"/>
      <protection locked="0"/>
    </xf>
    <xf numFmtId="201" fontId="2" fillId="0" borderId="31" xfId="0" applyNumberFormat="1" applyFont="1" applyBorder="1" applyAlignment="1" applyProtection="1">
      <alignment vertical="center"/>
      <protection locked="0"/>
    </xf>
    <xf numFmtId="201" fontId="2" fillId="0" borderId="22" xfId="0" applyNumberFormat="1" applyFont="1" applyBorder="1" applyAlignment="1" applyProtection="1">
      <alignment vertical="center"/>
      <protection locked="0"/>
    </xf>
    <xf numFmtId="201" fontId="2" fillId="0" borderId="45" xfId="0" applyNumberFormat="1" applyFont="1" applyBorder="1" applyAlignment="1" applyProtection="1">
      <alignment vertical="center"/>
      <protection locked="0"/>
    </xf>
    <xf numFmtId="201" fontId="2" fillId="0" borderId="101" xfId="0" applyNumberFormat="1" applyFont="1" applyBorder="1" applyAlignment="1" applyProtection="1">
      <alignment vertical="center"/>
      <protection locked="0"/>
    </xf>
    <xf numFmtId="201" fontId="2" fillId="0" borderId="13" xfId="0" applyNumberFormat="1" applyFont="1" applyBorder="1" applyAlignment="1" applyProtection="1">
      <alignment vertical="center"/>
      <protection locked="0"/>
    </xf>
    <xf numFmtId="201" fontId="2" fillId="0" borderId="28" xfId="0" applyNumberFormat="1" applyFont="1" applyBorder="1" applyAlignment="1" applyProtection="1">
      <alignment vertical="center"/>
      <protection locked="0"/>
    </xf>
    <xf numFmtId="14" fontId="2" fillId="0" borderId="12"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2" fillId="0" borderId="25" xfId="0" applyFont="1" applyBorder="1" applyAlignment="1" applyProtection="1">
      <alignment horizontal="center"/>
      <protection locked="0"/>
    </xf>
    <xf numFmtId="0" fontId="2" fillId="0" borderId="10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06" xfId="0" applyFont="1" applyBorder="1" applyAlignment="1" applyProtection="1">
      <alignment horizontal="distributed"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19" xfId="0" applyBorder="1" applyAlignment="1" applyProtection="1">
      <alignment vertical="center"/>
      <protection locked="0"/>
    </xf>
    <xf numFmtId="0" fontId="0" fillId="0" borderId="31" xfId="0" applyBorder="1" applyAlignment="1" applyProtection="1">
      <alignment vertical="center"/>
      <protection locked="0"/>
    </xf>
    <xf numFmtId="0" fontId="9" fillId="34" borderId="0" xfId="0" applyFont="1" applyFill="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6" xfId="0" applyBorder="1" applyAlignment="1" applyProtection="1">
      <alignment vertical="center"/>
      <protection locked="0"/>
    </xf>
    <xf numFmtId="201" fontId="2" fillId="0" borderId="14" xfId="0" applyNumberFormat="1" applyFont="1" applyBorder="1" applyAlignment="1">
      <alignment vertical="center"/>
    </xf>
    <xf numFmtId="201" fontId="2" fillId="0" borderId="26" xfId="0" applyNumberFormat="1" applyFont="1" applyBorder="1" applyAlignment="1">
      <alignment vertical="center"/>
    </xf>
    <xf numFmtId="201" fontId="2" fillId="0" borderId="19" xfId="0" applyNumberFormat="1" applyFont="1" applyBorder="1" applyAlignment="1">
      <alignment vertical="center"/>
    </xf>
    <xf numFmtId="201" fontId="2" fillId="0" borderId="100" xfId="0" applyNumberFormat="1" applyFont="1" applyBorder="1" applyAlignment="1">
      <alignment vertical="center"/>
    </xf>
    <xf numFmtId="201" fontId="2" fillId="0" borderId="22" xfId="0" applyNumberFormat="1" applyFont="1" applyBorder="1" applyAlignment="1">
      <alignment vertical="center"/>
    </xf>
    <xf numFmtId="201" fontId="2" fillId="0" borderId="101" xfId="0" applyNumberFormat="1" applyFont="1" applyBorder="1" applyAlignment="1">
      <alignment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201" fontId="4" fillId="0" borderId="13" xfId="0" applyNumberFormat="1" applyFont="1" applyBorder="1" applyAlignment="1">
      <alignment vertical="center"/>
    </xf>
    <xf numFmtId="201" fontId="4" fillId="0" borderId="28" xfId="0" applyNumberFormat="1" applyFont="1" applyBorder="1" applyAlignment="1">
      <alignment vertical="center"/>
    </xf>
    <xf numFmtId="201" fontId="2" fillId="0" borderId="31" xfId="0" applyNumberFormat="1" applyFont="1" applyBorder="1" applyAlignment="1">
      <alignment vertical="center"/>
    </xf>
    <xf numFmtId="0" fontId="2" fillId="0" borderId="49" xfId="0" applyFont="1" applyBorder="1" applyAlignment="1">
      <alignment horizontal="center" vertical="center"/>
    </xf>
    <xf numFmtId="0" fontId="2" fillId="0" borderId="104" xfId="0" applyFont="1" applyBorder="1" applyAlignment="1">
      <alignment horizontal="center" vertical="center"/>
    </xf>
    <xf numFmtId="201" fontId="2" fillId="0" borderId="45" xfId="0" applyNumberFormat="1" applyFont="1" applyBorder="1" applyAlignment="1">
      <alignment vertical="center"/>
    </xf>
    <xf numFmtId="201" fontId="2" fillId="0" borderId="13" xfId="0" applyNumberFormat="1" applyFont="1" applyBorder="1" applyAlignment="1">
      <alignment vertical="center"/>
    </xf>
    <xf numFmtId="201" fontId="2" fillId="0" borderId="28" xfId="0" applyNumberFormat="1" applyFont="1" applyBorder="1" applyAlignment="1">
      <alignment vertical="center"/>
    </xf>
    <xf numFmtId="0" fontId="9" fillId="0" borderId="0" xfId="0" applyFont="1" applyAlignment="1">
      <alignment horizontal="center" vertical="center"/>
    </xf>
    <xf numFmtId="0" fontId="2" fillId="0" borderId="87" xfId="0" applyFont="1" applyBorder="1" applyAlignment="1">
      <alignment horizontal="center" vertical="center"/>
    </xf>
    <xf numFmtId="0" fontId="2" fillId="0" borderId="25" xfId="0" applyFont="1" applyBorder="1" applyAlignment="1">
      <alignment horizontal="center"/>
    </xf>
    <xf numFmtId="0" fontId="2" fillId="0" borderId="108" xfId="0" applyFont="1" applyBorder="1" applyAlignment="1">
      <alignment horizontal="center" vertical="center"/>
    </xf>
    <xf numFmtId="0" fontId="0" fillId="0" borderId="49" xfId="0" applyFont="1" applyBorder="1" applyAlignment="1">
      <alignment horizontal="center" vertical="center"/>
    </xf>
    <xf numFmtId="0" fontId="0" fillId="0" borderId="87" xfId="0" applyFont="1" applyBorder="1" applyAlignment="1">
      <alignment horizontal="center" vertical="center"/>
    </xf>
    <xf numFmtId="201" fontId="2" fillId="0" borderId="14" xfId="0" applyNumberFormat="1" applyFont="1" applyFill="1" applyBorder="1" applyAlignment="1">
      <alignment vertical="center"/>
    </xf>
    <xf numFmtId="201" fontId="2" fillId="0" borderId="26" xfId="0" applyNumberFormat="1" applyFont="1" applyFill="1" applyBorder="1" applyAlignment="1">
      <alignment vertical="center"/>
    </xf>
    <xf numFmtId="201" fontId="2" fillId="34" borderId="14" xfId="0" applyNumberFormat="1" applyFont="1" applyFill="1" applyBorder="1" applyAlignment="1">
      <alignment vertical="center"/>
    </xf>
    <xf numFmtId="201" fontId="2" fillId="34" borderId="26" xfId="0" applyNumberFormat="1" applyFont="1" applyFill="1" applyBorder="1" applyAlignment="1">
      <alignment vertical="center"/>
    </xf>
    <xf numFmtId="201" fontId="2" fillId="0" borderId="13" xfId="0" applyNumberFormat="1" applyFont="1" applyFill="1" applyBorder="1" applyAlignment="1">
      <alignment vertical="center"/>
    </xf>
    <xf numFmtId="201" fontId="2" fillId="0" borderId="28" xfId="0" applyNumberFormat="1" applyFont="1" applyFill="1" applyBorder="1" applyAlignment="1">
      <alignment vertical="center"/>
    </xf>
    <xf numFmtId="201" fontId="2" fillId="0" borderId="19" xfId="0" applyNumberFormat="1" applyFont="1" applyFill="1" applyBorder="1" applyAlignment="1">
      <alignment vertical="center"/>
    </xf>
    <xf numFmtId="201" fontId="2" fillId="0" borderId="31" xfId="0" applyNumberFormat="1" applyFont="1" applyFill="1" applyBorder="1" applyAlignment="1">
      <alignment vertical="center"/>
    </xf>
    <xf numFmtId="0" fontId="2" fillId="0" borderId="103"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02" xfId="0" applyFont="1" applyBorder="1" applyAlignment="1">
      <alignment horizontal="center" vertical="center"/>
    </xf>
    <xf numFmtId="0" fontId="2" fillId="0" borderId="11" xfId="0" applyFont="1" applyBorder="1" applyAlignment="1">
      <alignment horizontal="center" vertical="center"/>
    </xf>
    <xf numFmtId="0" fontId="2" fillId="0" borderId="106" xfId="0" applyFont="1" applyBorder="1" applyAlignment="1">
      <alignment horizontal="distributed"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14" fontId="2" fillId="0" borderId="12" xfId="0" applyNumberFormat="1" applyFont="1" applyBorder="1" applyAlignment="1">
      <alignment horizontal="center"/>
    </xf>
    <xf numFmtId="0" fontId="2" fillId="0" borderId="12" xfId="0" applyFont="1" applyBorder="1" applyAlignment="1">
      <alignment horizontal="center"/>
    </xf>
    <xf numFmtId="0" fontId="0" fillId="0" borderId="14" xfId="0" applyBorder="1" applyAlignment="1">
      <alignment vertical="center"/>
    </xf>
    <xf numFmtId="0" fontId="0" fillId="0" borderId="26" xfId="0" applyBorder="1" applyAlignment="1">
      <alignment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0" fillId="0" borderId="19" xfId="0" applyBorder="1" applyAlignment="1">
      <alignment vertical="center"/>
    </xf>
    <xf numFmtId="0" fontId="0" fillId="0" borderId="31" xfId="0" applyBorder="1" applyAlignment="1">
      <alignment vertical="center"/>
    </xf>
    <xf numFmtId="0" fontId="2" fillId="0" borderId="105" xfId="0" applyFont="1" applyBorder="1" applyAlignment="1">
      <alignment horizontal="center" vertical="center"/>
    </xf>
    <xf numFmtId="0" fontId="2" fillId="0" borderId="34" xfId="0" applyFont="1" applyBorder="1" applyAlignment="1">
      <alignment horizontal="center" vertical="center"/>
    </xf>
    <xf numFmtId="202" fontId="0" fillId="0" borderId="35" xfId="0" applyNumberFormat="1" applyFill="1" applyBorder="1" applyAlignment="1">
      <alignment horizontal="right" vertical="center"/>
    </xf>
    <xf numFmtId="0" fontId="0" fillId="0" borderId="35" xfId="0" applyBorder="1" applyAlignment="1">
      <alignment horizontal="center" vertical="center"/>
    </xf>
    <xf numFmtId="0" fontId="16" fillId="34" borderId="109" xfId="0" applyFont="1" applyFill="1" applyBorder="1" applyAlignment="1">
      <alignment horizontal="center" vertical="center"/>
    </xf>
    <xf numFmtId="0" fontId="16" fillId="34" borderId="110" xfId="0" applyFont="1" applyFill="1" applyBorder="1" applyAlignment="1">
      <alignment horizontal="center" vertical="center"/>
    </xf>
    <xf numFmtId="0" fontId="16" fillId="34" borderId="111" xfId="0" applyFont="1" applyFill="1" applyBorder="1" applyAlignment="1">
      <alignment horizontal="center" vertical="center"/>
    </xf>
    <xf numFmtId="0" fontId="8" fillId="0" borderId="49" xfId="0" applyFont="1" applyBorder="1" applyAlignment="1">
      <alignment horizontal="center" vertical="center"/>
    </xf>
    <xf numFmtId="0" fontId="8" fillId="0" borderId="87" xfId="0" applyFont="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27" xfId="0" applyFont="1" applyBorder="1" applyAlignment="1">
      <alignment horizontal="center" vertical="center"/>
    </xf>
    <xf numFmtId="0" fontId="8" fillId="0" borderId="27" xfId="0" applyFont="1" applyBorder="1" applyAlignment="1">
      <alignment horizontal="center" vertical="center"/>
    </xf>
    <xf numFmtId="0" fontId="0" fillId="0" borderId="66" xfId="0" applyFill="1" applyBorder="1" applyAlignment="1">
      <alignment horizontal="center" vertical="center"/>
    </xf>
    <xf numFmtId="0" fontId="0" fillId="0" borderId="57" xfId="0" applyFill="1" applyBorder="1" applyAlignment="1">
      <alignment horizontal="center" vertical="center"/>
    </xf>
    <xf numFmtId="0" fontId="0" fillId="0" borderId="62" xfId="0" applyFill="1" applyBorder="1" applyAlignment="1">
      <alignment horizontal="center" vertical="center"/>
    </xf>
    <xf numFmtId="0" fontId="0" fillId="34" borderId="35" xfId="0" applyFill="1" applyBorder="1" applyAlignment="1" applyProtection="1">
      <alignment vertical="center"/>
      <protection locked="0"/>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0" fillId="0" borderId="27" xfId="0" applyFill="1" applyBorder="1" applyAlignment="1" applyProtection="1">
      <alignment vertical="center"/>
      <protection locked="0"/>
    </xf>
    <xf numFmtId="202" fontId="0" fillId="0" borderId="27" xfId="0" applyNumberFormat="1" applyFill="1" applyBorder="1" applyAlignment="1">
      <alignment horizontal="right"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49" xfId="0" applyFill="1" applyBorder="1" applyAlignment="1">
      <alignment horizontal="center" vertical="center"/>
    </xf>
    <xf numFmtId="0" fontId="0" fillId="0" borderId="27" xfId="0" applyFill="1" applyBorder="1" applyAlignment="1">
      <alignment horizontal="center" vertical="center"/>
    </xf>
    <xf numFmtId="0" fontId="0" fillId="0" borderId="87" xfId="0" applyFill="1" applyBorder="1" applyAlignment="1">
      <alignment horizontal="center" vertical="center"/>
    </xf>
    <xf numFmtId="201" fontId="2" fillId="34" borderId="19" xfId="0" applyNumberFormat="1" applyFont="1" applyFill="1" applyBorder="1" applyAlignment="1">
      <alignment vertical="center"/>
    </xf>
    <xf numFmtId="201" fontId="2" fillId="34" borderId="31" xfId="0" applyNumberFormat="1" applyFont="1" applyFill="1" applyBorder="1" applyAlignment="1">
      <alignment vertical="center"/>
    </xf>
    <xf numFmtId="201" fontId="2" fillId="0" borderId="114" xfId="0" applyNumberFormat="1" applyFont="1" applyBorder="1" applyAlignment="1">
      <alignment vertical="center"/>
    </xf>
    <xf numFmtId="201" fontId="2" fillId="0" borderId="115" xfId="0" applyNumberFormat="1" applyFont="1" applyBorder="1" applyAlignment="1">
      <alignment vertical="center"/>
    </xf>
    <xf numFmtId="0" fontId="4" fillId="0" borderId="13" xfId="0" applyFont="1" applyBorder="1" applyAlignment="1">
      <alignment horizontal="left" vertical="center"/>
    </xf>
    <xf numFmtId="0" fontId="4" fillId="0" borderId="28" xfId="0" applyFont="1" applyBorder="1" applyAlignment="1">
      <alignment horizontal="left" vertical="center"/>
    </xf>
    <xf numFmtId="0" fontId="0" fillId="0" borderId="49" xfId="0" applyBorder="1" applyAlignment="1">
      <alignment horizontal="center" vertical="center"/>
    </xf>
    <xf numFmtId="0" fontId="0" fillId="0" borderId="27" xfId="0" applyBorder="1" applyAlignment="1">
      <alignment horizontal="center" vertical="center"/>
    </xf>
    <xf numFmtId="202" fontId="0" fillId="0" borderId="116" xfId="0" applyNumberFormat="1" applyFill="1" applyBorder="1" applyAlignment="1">
      <alignment horizontal="right" vertical="center"/>
    </xf>
    <xf numFmtId="202" fontId="0" fillId="0" borderId="117" xfId="0" applyNumberFormat="1" applyFill="1" applyBorder="1" applyAlignment="1">
      <alignment horizontal="right" vertical="center"/>
    </xf>
    <xf numFmtId="202" fontId="0" fillId="0" borderId="118" xfId="0" applyNumberFormat="1" applyFill="1" applyBorder="1" applyAlignment="1">
      <alignment horizontal="right" vertical="center"/>
    </xf>
    <xf numFmtId="202" fontId="0" fillId="0" borderId="119" xfId="0" applyNumberFormat="1" applyFill="1" applyBorder="1" applyAlignment="1">
      <alignment horizontal="right" vertical="center"/>
    </xf>
    <xf numFmtId="202" fontId="0" fillId="0" borderId="120" xfId="0" applyNumberFormat="1" applyFill="1" applyBorder="1" applyAlignment="1">
      <alignment horizontal="right" vertical="center"/>
    </xf>
    <xf numFmtId="202" fontId="0" fillId="0" borderId="121" xfId="0" applyNumberFormat="1" applyFill="1" applyBorder="1" applyAlignment="1">
      <alignment horizontal="right" vertical="center"/>
    </xf>
    <xf numFmtId="202" fontId="0" fillId="0" borderId="18" xfId="0" applyNumberFormat="1" applyFill="1" applyBorder="1" applyAlignment="1">
      <alignment horizontal="right" vertical="center"/>
    </xf>
    <xf numFmtId="202" fontId="0" fillId="0" borderId="0" xfId="0" applyNumberFormat="1" applyFill="1" applyBorder="1" applyAlignment="1">
      <alignment horizontal="right" vertical="center"/>
    </xf>
    <xf numFmtId="202" fontId="0" fillId="0" borderId="122" xfId="0" applyNumberFormat="1" applyFill="1" applyBorder="1" applyAlignment="1">
      <alignment horizontal="right" vertical="center"/>
    </xf>
    <xf numFmtId="202" fontId="0" fillId="0" borderId="123" xfId="0" applyNumberFormat="1" applyFill="1" applyBorder="1" applyAlignment="1">
      <alignment horizontal="right" vertical="center"/>
    </xf>
    <xf numFmtId="0" fontId="2" fillId="0" borderId="49"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4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87" xfId="0" applyFont="1" applyFill="1" applyBorder="1" applyAlignment="1">
      <alignment horizontal="center" vertical="center"/>
    </xf>
    <xf numFmtId="0" fontId="0" fillId="34" borderId="58" xfId="0" applyFill="1" applyBorder="1" applyAlignment="1" applyProtection="1">
      <alignment vertical="center"/>
      <protection locked="0"/>
    </xf>
    <xf numFmtId="0" fontId="0" fillId="34" borderId="67" xfId="0" applyFill="1" applyBorder="1" applyAlignment="1" applyProtection="1">
      <alignment vertical="center"/>
      <protection locked="0"/>
    </xf>
    <xf numFmtId="0" fontId="0" fillId="34" borderId="117" xfId="0" applyFill="1" applyBorder="1" applyAlignment="1" applyProtection="1">
      <alignment vertical="center"/>
      <protection locked="0"/>
    </xf>
    <xf numFmtId="0" fontId="0" fillId="34" borderId="50" xfId="0" applyFill="1" applyBorder="1" applyAlignment="1" applyProtection="1">
      <alignment vertical="center"/>
      <protection locked="0"/>
    </xf>
    <xf numFmtId="0" fontId="0" fillId="34" borderId="68" xfId="0" applyFill="1" applyBorder="1" applyAlignment="1" applyProtection="1">
      <alignment vertical="center"/>
      <protection locked="0"/>
    </xf>
    <xf numFmtId="0" fontId="0" fillId="34" borderId="119" xfId="0" applyFill="1" applyBorder="1" applyAlignment="1" applyProtection="1">
      <alignment vertical="center"/>
      <protection locked="0"/>
    </xf>
    <xf numFmtId="0" fontId="0" fillId="34" borderId="55" xfId="0" applyFill="1" applyBorder="1" applyAlignment="1" applyProtection="1">
      <alignment vertical="center"/>
      <protection locked="0"/>
    </xf>
    <xf numFmtId="0" fontId="0" fillId="34" borderId="72" xfId="0" applyFill="1" applyBorder="1" applyAlignment="1" applyProtection="1">
      <alignment vertical="center"/>
      <protection locked="0"/>
    </xf>
    <xf numFmtId="0" fontId="0" fillId="34" borderId="121" xfId="0" applyFill="1" applyBorder="1" applyAlignment="1" applyProtection="1">
      <alignment vertical="center"/>
      <protection locked="0"/>
    </xf>
    <xf numFmtId="0" fontId="22" fillId="0" borderId="13"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ont>
        <color indexed="13"/>
      </font>
      <fill>
        <patternFill>
          <bgColor indexed="8"/>
        </patternFill>
      </fill>
    </dxf>
    <dxf>
      <fill>
        <patternFill>
          <bgColor indexed="53"/>
        </patternFill>
      </fill>
    </dxf>
    <dxf>
      <fill>
        <patternFill>
          <bgColor indexed="10"/>
        </patternFill>
      </fill>
    </dxf>
    <dxf>
      <fill>
        <patternFill>
          <bgColor indexed="10"/>
        </patternFill>
      </fill>
    </dxf>
    <dxf>
      <fill>
        <patternFill>
          <bgColor indexed="10"/>
        </patternFill>
      </fill>
    </dxf>
    <dxf>
      <font>
        <color indexed="13"/>
      </font>
      <fill>
        <patternFill>
          <bgColor indexed="8"/>
        </patternFill>
      </fill>
    </dxf>
    <dxf>
      <fill>
        <patternFill>
          <bgColor indexed="53"/>
        </patternFill>
      </fill>
    </dxf>
    <dxf>
      <fill>
        <patternFill>
          <bgColor indexed="10"/>
        </patternFill>
      </fill>
    </dxf>
    <dxf>
      <fill>
        <patternFill>
          <bgColor indexed="10"/>
        </patternFill>
      </fill>
    </dxf>
    <dxf>
      <font>
        <color rgb="FFFFFF00"/>
      </font>
      <fill>
        <patternFill>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T8" sqref="T8"/>
    </sheetView>
  </sheetViews>
  <sheetFormatPr defaultColWidth="9.00390625" defaultRowHeight="12.75"/>
  <cols>
    <col min="1" max="1" width="5.25390625" style="0" customWidth="1"/>
    <col min="2" max="2" width="5.00390625" style="0" customWidth="1"/>
    <col min="5" max="5" width="7.625" style="0" customWidth="1"/>
  </cols>
  <sheetData>
    <row r="1" spans="1:15" ht="14.25">
      <c r="A1" s="57"/>
      <c r="B1" s="57"/>
      <c r="C1" s="57"/>
      <c r="D1" s="57"/>
      <c r="E1" s="57"/>
      <c r="F1" s="57"/>
      <c r="G1" s="57"/>
      <c r="H1" s="57"/>
      <c r="I1" s="57"/>
      <c r="J1" s="58"/>
      <c r="K1" s="58"/>
      <c r="L1" s="202"/>
      <c r="M1" s="202"/>
      <c r="N1" s="202"/>
      <c r="O1" s="202"/>
    </row>
    <row r="2" spans="1:15" ht="14.25">
      <c r="A2" s="57"/>
      <c r="B2" s="57" t="s">
        <v>243</v>
      </c>
      <c r="C2" s="57"/>
      <c r="D2" s="57"/>
      <c r="E2" s="57"/>
      <c r="F2" s="57"/>
      <c r="G2" s="57"/>
      <c r="H2" s="57"/>
      <c r="I2" s="57"/>
      <c r="J2" s="58"/>
      <c r="K2" s="58"/>
      <c r="L2" s="202"/>
      <c r="M2" s="202"/>
      <c r="N2" s="202"/>
      <c r="O2" s="202"/>
    </row>
    <row r="3" spans="1:15" ht="6.75" customHeight="1">
      <c r="A3" s="57"/>
      <c r="B3" s="57"/>
      <c r="C3" s="57"/>
      <c r="D3" s="57"/>
      <c r="E3" s="57"/>
      <c r="F3" s="57"/>
      <c r="G3" s="57"/>
      <c r="H3" s="57"/>
      <c r="I3" s="57"/>
      <c r="J3" s="58"/>
      <c r="K3" s="58"/>
      <c r="L3" s="202"/>
      <c r="M3" s="202"/>
      <c r="N3" s="202"/>
      <c r="O3" s="202"/>
    </row>
    <row r="4" spans="1:15" ht="24" customHeight="1" thickBot="1">
      <c r="A4" s="57"/>
      <c r="B4" s="57" t="s">
        <v>51</v>
      </c>
      <c r="C4" s="57"/>
      <c r="D4" s="57"/>
      <c r="E4" s="57"/>
      <c r="F4" s="57"/>
      <c r="G4" s="57"/>
      <c r="H4" s="57"/>
      <c r="I4" s="57"/>
      <c r="J4" s="58"/>
      <c r="K4" s="58"/>
      <c r="L4" s="202"/>
      <c r="M4" s="202"/>
      <c r="N4" s="202"/>
      <c r="O4" s="202"/>
    </row>
    <row r="5" spans="1:15" ht="24" customHeight="1" thickBot="1">
      <c r="A5" s="57"/>
      <c r="B5" s="57" t="s">
        <v>123</v>
      </c>
      <c r="C5" s="202"/>
      <c r="D5" s="114"/>
      <c r="E5" s="57" t="s">
        <v>124</v>
      </c>
      <c r="F5" s="60"/>
      <c r="G5" s="57"/>
      <c r="H5" s="57"/>
      <c r="I5" s="57"/>
      <c r="J5" s="58"/>
      <c r="K5" s="58"/>
      <c r="L5" s="202"/>
      <c r="M5" s="202"/>
      <c r="N5" s="202"/>
      <c r="O5" s="202"/>
    </row>
    <row r="6" spans="1:15" ht="24" customHeight="1" thickBot="1">
      <c r="A6" s="57"/>
      <c r="B6" s="57"/>
      <c r="C6" s="57" t="s">
        <v>271</v>
      </c>
      <c r="D6" s="57"/>
      <c r="E6" s="57"/>
      <c r="F6" s="60"/>
      <c r="G6" s="57"/>
      <c r="H6" s="57"/>
      <c r="I6" s="57"/>
      <c r="J6" s="58"/>
      <c r="K6" s="58"/>
      <c r="L6" s="202"/>
      <c r="M6" s="202"/>
      <c r="N6" s="202"/>
      <c r="O6" s="202"/>
    </row>
    <row r="7" spans="1:15" ht="24" customHeight="1">
      <c r="A7" s="57"/>
      <c r="B7" s="57"/>
      <c r="C7" s="467" t="s">
        <v>272</v>
      </c>
      <c r="D7" s="468"/>
      <c r="E7" s="468"/>
      <c r="F7" s="468"/>
      <c r="G7" s="468"/>
      <c r="H7" s="468"/>
      <c r="I7" s="468"/>
      <c r="J7" s="468"/>
      <c r="K7" s="468"/>
      <c r="L7" s="468"/>
      <c r="M7" s="468"/>
      <c r="N7" s="468"/>
      <c r="O7" s="469"/>
    </row>
    <row r="8" spans="1:15" ht="24" customHeight="1" thickBot="1">
      <c r="A8" s="57"/>
      <c r="B8" s="57"/>
      <c r="C8" s="470"/>
      <c r="D8" s="471"/>
      <c r="E8" s="471"/>
      <c r="F8" s="471"/>
      <c r="G8" s="471"/>
      <c r="H8" s="471"/>
      <c r="I8" s="471"/>
      <c r="J8" s="471"/>
      <c r="K8" s="471"/>
      <c r="L8" s="471"/>
      <c r="M8" s="471"/>
      <c r="N8" s="471"/>
      <c r="O8" s="472"/>
    </row>
    <row r="9" spans="1:15" ht="24" customHeight="1">
      <c r="A9" s="57"/>
      <c r="B9" s="57"/>
      <c r="C9" s="57" t="s">
        <v>161</v>
      </c>
      <c r="D9" s="57"/>
      <c r="E9" s="57"/>
      <c r="F9" s="57"/>
      <c r="G9" s="57"/>
      <c r="H9" s="57"/>
      <c r="I9" s="57"/>
      <c r="J9" s="58"/>
      <c r="K9" s="58"/>
      <c r="L9" s="202"/>
      <c r="M9" s="202"/>
      <c r="N9" s="202"/>
      <c r="O9" s="202"/>
    </row>
    <row r="10" spans="1:15" ht="24" customHeight="1">
      <c r="A10" s="57"/>
      <c r="B10" s="57"/>
      <c r="C10" s="57" t="s">
        <v>169</v>
      </c>
      <c r="D10" s="57"/>
      <c r="E10" s="57"/>
      <c r="F10" s="57"/>
      <c r="G10" s="57"/>
      <c r="H10" s="57"/>
      <c r="I10" s="57"/>
      <c r="J10" s="58"/>
      <c r="K10" s="58"/>
      <c r="L10" s="202"/>
      <c r="M10" s="202"/>
      <c r="N10" s="202"/>
      <c r="O10" s="202"/>
    </row>
    <row r="11" spans="1:15" ht="24" customHeight="1">
      <c r="A11" s="57"/>
      <c r="B11" s="57"/>
      <c r="C11" s="57" t="s">
        <v>241</v>
      </c>
      <c r="D11" s="57"/>
      <c r="E11" s="57"/>
      <c r="F11" s="57"/>
      <c r="G11" s="57"/>
      <c r="H11" s="57"/>
      <c r="I11" s="57"/>
      <c r="J11" s="58"/>
      <c r="K11" s="58"/>
      <c r="L11" s="202"/>
      <c r="M11" s="202"/>
      <c r="N11" s="202"/>
      <c r="O11" s="202"/>
    </row>
    <row r="12" spans="1:15" ht="24" customHeight="1">
      <c r="A12" s="57"/>
      <c r="B12" s="57"/>
      <c r="C12" s="57" t="s">
        <v>242</v>
      </c>
      <c r="D12" s="57"/>
      <c r="E12" s="57"/>
      <c r="F12" s="57"/>
      <c r="G12" s="57"/>
      <c r="H12" s="57"/>
      <c r="I12" s="57"/>
      <c r="J12" s="58"/>
      <c r="K12" s="58"/>
      <c r="L12" s="202"/>
      <c r="M12" s="202"/>
      <c r="N12" s="202"/>
      <c r="O12" s="202"/>
    </row>
    <row r="13" spans="1:15" ht="10.5" customHeight="1">
      <c r="A13" s="57"/>
      <c r="B13" s="57"/>
      <c r="C13" s="57"/>
      <c r="D13" s="57"/>
      <c r="E13" s="57"/>
      <c r="F13" s="57"/>
      <c r="G13" s="57"/>
      <c r="H13" s="57"/>
      <c r="I13" s="57"/>
      <c r="J13" s="58"/>
      <c r="K13" s="58"/>
      <c r="L13" s="202"/>
      <c r="M13" s="202"/>
      <c r="N13" s="202"/>
      <c r="O13" s="202"/>
    </row>
    <row r="14" spans="1:15" ht="24" customHeight="1">
      <c r="A14" s="57"/>
      <c r="B14" s="57" t="s">
        <v>165</v>
      </c>
      <c r="C14" s="57"/>
      <c r="D14" s="57"/>
      <c r="E14" s="57"/>
      <c r="F14" s="57"/>
      <c r="G14" s="57"/>
      <c r="H14" s="57"/>
      <c r="I14" s="57"/>
      <c r="J14" s="58"/>
      <c r="K14" s="58"/>
      <c r="L14" s="202"/>
      <c r="M14" s="202"/>
      <c r="N14" s="202"/>
      <c r="O14" s="202"/>
    </row>
    <row r="15" spans="1:15" ht="24" customHeight="1">
      <c r="A15" s="57"/>
      <c r="B15" s="57"/>
      <c r="C15" s="57" t="s">
        <v>167</v>
      </c>
      <c r="D15" s="57"/>
      <c r="E15" s="57"/>
      <c r="F15" s="57"/>
      <c r="G15" s="57"/>
      <c r="H15" s="57"/>
      <c r="I15" s="57"/>
      <c r="J15" s="58"/>
      <c r="K15" s="58"/>
      <c r="L15" s="202"/>
      <c r="M15" s="202"/>
      <c r="N15" s="202"/>
      <c r="O15" s="202"/>
    </row>
    <row r="16" spans="1:15" ht="24" customHeight="1">
      <c r="A16" s="57"/>
      <c r="B16" s="57"/>
      <c r="C16" s="57" t="s">
        <v>162</v>
      </c>
      <c r="D16" s="57"/>
      <c r="E16" s="57"/>
      <c r="F16" s="57"/>
      <c r="G16" s="57"/>
      <c r="H16" s="57"/>
      <c r="I16" s="57"/>
      <c r="J16" s="58"/>
      <c r="K16" s="58"/>
      <c r="L16" s="202"/>
      <c r="M16" s="202"/>
      <c r="N16" s="202"/>
      <c r="O16" s="202"/>
    </row>
    <row r="17" spans="1:15" ht="24" customHeight="1">
      <c r="A17" s="57"/>
      <c r="B17" s="57"/>
      <c r="C17" s="57" t="s">
        <v>163</v>
      </c>
      <c r="D17" s="57"/>
      <c r="E17" s="57"/>
      <c r="F17" s="57"/>
      <c r="G17" s="57"/>
      <c r="H17" s="57"/>
      <c r="I17" s="57"/>
      <c r="J17" s="58"/>
      <c r="K17" s="58"/>
      <c r="L17" s="202"/>
      <c r="M17" s="202"/>
      <c r="N17" s="202"/>
      <c r="O17" s="202"/>
    </row>
    <row r="18" spans="1:15" ht="24" customHeight="1">
      <c r="A18" s="57"/>
      <c r="B18" s="57"/>
      <c r="C18" s="57" t="s">
        <v>166</v>
      </c>
      <c r="D18" s="57"/>
      <c r="E18" s="57"/>
      <c r="F18" s="57"/>
      <c r="G18" s="57"/>
      <c r="H18" s="57"/>
      <c r="I18" s="57"/>
      <c r="J18" s="58"/>
      <c r="K18" s="58"/>
      <c r="L18" s="202"/>
      <c r="M18" s="202"/>
      <c r="N18" s="202"/>
      <c r="O18" s="202"/>
    </row>
    <row r="19" spans="1:15" ht="24" customHeight="1">
      <c r="A19" s="57"/>
      <c r="B19" s="57"/>
      <c r="C19" s="57" t="s">
        <v>44</v>
      </c>
      <c r="D19" s="57"/>
      <c r="E19" s="57"/>
      <c r="F19" s="57"/>
      <c r="G19" s="57"/>
      <c r="H19" s="57"/>
      <c r="I19" s="57"/>
      <c r="J19" s="58"/>
      <c r="K19" s="58"/>
      <c r="L19" s="202"/>
      <c r="M19" s="202"/>
      <c r="N19" s="202"/>
      <c r="O19" s="202"/>
    </row>
    <row r="20" spans="1:15" ht="24" customHeight="1">
      <c r="A20" s="57"/>
      <c r="B20" s="57"/>
      <c r="C20" s="57" t="s">
        <v>45</v>
      </c>
      <c r="D20" s="202"/>
      <c r="E20" s="57" t="s">
        <v>52</v>
      </c>
      <c r="F20" s="57"/>
      <c r="G20" s="57"/>
      <c r="H20" s="57"/>
      <c r="I20" s="57"/>
      <c r="J20" s="58"/>
      <c r="K20" s="58"/>
      <c r="L20" s="202"/>
      <c r="M20" s="202"/>
      <c r="N20" s="202"/>
      <c r="O20" s="202"/>
    </row>
    <row r="21" spans="1:15" ht="24" customHeight="1">
      <c r="A21" s="57"/>
      <c r="B21" s="57"/>
      <c r="C21" s="57" t="s">
        <v>43</v>
      </c>
      <c r="D21" s="57"/>
      <c r="E21" s="57"/>
      <c r="F21" s="57"/>
      <c r="G21" s="57"/>
      <c r="H21" s="57"/>
      <c r="I21" s="57"/>
      <c r="J21" s="58"/>
      <c r="K21" s="58"/>
      <c r="L21" s="202"/>
      <c r="M21" s="202"/>
      <c r="N21" s="202"/>
      <c r="O21" s="202"/>
    </row>
    <row r="22" spans="1:15" ht="24" customHeight="1">
      <c r="A22" s="57"/>
      <c r="B22" s="57"/>
      <c r="C22" s="57"/>
      <c r="D22" s="57"/>
      <c r="E22" s="57"/>
      <c r="F22" s="57"/>
      <c r="G22" s="57"/>
      <c r="H22" s="57"/>
      <c r="I22" s="57"/>
      <c r="J22" s="58"/>
      <c r="K22" s="58"/>
      <c r="L22" s="202"/>
      <c r="M22" s="202"/>
      <c r="N22" s="202"/>
      <c r="O22" s="202"/>
    </row>
    <row r="23" spans="1:15" ht="12" customHeight="1">
      <c r="A23" s="57"/>
      <c r="B23" s="57"/>
      <c r="C23" s="57"/>
      <c r="D23" s="57"/>
      <c r="E23" s="57"/>
      <c r="F23" s="57"/>
      <c r="G23" s="57"/>
      <c r="H23" s="57"/>
      <c r="I23" s="57"/>
      <c r="J23" s="58"/>
      <c r="K23" s="58"/>
      <c r="L23" s="202"/>
      <c r="M23" s="202"/>
      <c r="N23" s="202"/>
      <c r="O23" s="202"/>
    </row>
    <row r="24" spans="1:15" ht="24" customHeight="1">
      <c r="A24" s="57"/>
      <c r="B24" s="57" t="s">
        <v>235</v>
      </c>
      <c r="C24" s="57"/>
      <c r="D24" s="57"/>
      <c r="E24" s="57"/>
      <c r="F24" s="57"/>
      <c r="G24" s="57"/>
      <c r="H24" s="57"/>
      <c r="I24" s="57"/>
      <c r="J24" s="58"/>
      <c r="K24" s="58"/>
      <c r="L24" s="202"/>
      <c r="M24" s="202"/>
      <c r="N24" s="202"/>
      <c r="O24" s="202"/>
    </row>
    <row r="25" spans="1:15" ht="14.25">
      <c r="A25" s="57"/>
      <c r="B25" s="202"/>
      <c r="C25" s="57" t="s">
        <v>236</v>
      </c>
      <c r="D25" s="202"/>
      <c r="E25" s="202"/>
      <c r="F25" s="202"/>
      <c r="G25" s="202"/>
      <c r="H25" s="202"/>
      <c r="I25" s="202"/>
      <c r="J25" s="202"/>
      <c r="K25" s="202"/>
      <c r="L25" s="202"/>
      <c r="M25" s="202"/>
      <c r="N25" s="202"/>
      <c r="O25" s="202"/>
    </row>
    <row r="26" spans="1:15" ht="14.25">
      <c r="A26" s="57"/>
      <c r="B26" s="202"/>
      <c r="C26" s="441" t="s">
        <v>237</v>
      </c>
      <c r="D26" s="202"/>
      <c r="E26" s="202"/>
      <c r="F26" s="202"/>
      <c r="G26" s="202"/>
      <c r="H26" s="202"/>
      <c r="I26" s="202"/>
      <c r="J26" s="202"/>
      <c r="K26" s="202"/>
      <c r="L26" s="202"/>
      <c r="M26" s="202"/>
      <c r="N26" s="202"/>
      <c r="O26" s="202"/>
    </row>
    <row r="27" spans="1:15" ht="12.75" thickBot="1">
      <c r="A27" s="202"/>
      <c r="B27" s="202"/>
      <c r="C27" s="202"/>
      <c r="D27" s="202"/>
      <c r="E27" s="202"/>
      <c r="F27" s="202"/>
      <c r="G27" s="202"/>
      <c r="H27" s="202"/>
      <c r="I27" s="202"/>
      <c r="J27" s="202"/>
      <c r="K27" s="202"/>
      <c r="L27" s="202"/>
      <c r="M27" s="202"/>
      <c r="N27" s="202"/>
      <c r="O27" s="202"/>
    </row>
    <row r="28" spans="2:11" ht="12.75" thickTop="1">
      <c r="B28" s="473" t="s">
        <v>168</v>
      </c>
      <c r="C28" s="474"/>
      <c r="D28" s="474"/>
      <c r="E28" s="474"/>
      <c r="F28" s="474"/>
      <c r="G28" s="474"/>
      <c r="H28" s="474"/>
      <c r="I28" s="474"/>
      <c r="J28" s="474"/>
      <c r="K28" s="475"/>
    </row>
    <row r="29" spans="2:11" ht="12.75" thickBot="1">
      <c r="B29" s="476"/>
      <c r="C29" s="477"/>
      <c r="D29" s="477"/>
      <c r="E29" s="477"/>
      <c r="F29" s="477"/>
      <c r="G29" s="477"/>
      <c r="H29" s="477"/>
      <c r="I29" s="477"/>
      <c r="J29" s="477"/>
      <c r="K29" s="478"/>
    </row>
    <row r="30" ht="12.75" thickTop="1"/>
  </sheetData>
  <sheetProtection password="CC73" sheet="1" selectLockedCells="1" selectUnlockedCells="1"/>
  <mergeCells count="2">
    <mergeCell ref="C7:O8"/>
    <mergeCell ref="B28:K29"/>
  </mergeCells>
  <printOptions horizontalCentered="1" verticalCentered="1"/>
  <pageMargins left="0.787" right="0.787" top="0.984" bottom="0.984" header="0.512" footer="0.512"/>
  <pageSetup blackAndWhite="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FG112"/>
  <sheetViews>
    <sheetView showGridLines="0" showZeros="0" zoomScale="75" zoomScaleNormal="75" zoomScalePageLayoutView="0" workbookViewId="0" topLeftCell="A1">
      <selection activeCell="AG5" sqref="AG5"/>
    </sheetView>
  </sheetViews>
  <sheetFormatPr defaultColWidth="9.00390625" defaultRowHeight="12.75"/>
  <cols>
    <col min="1" max="1" width="1.37890625" style="0" customWidth="1"/>
    <col min="2" max="2" width="10.625" style="0" customWidth="1"/>
    <col min="3" max="3" width="10.75390625" style="0" customWidth="1"/>
    <col min="4" max="6" width="10.75390625" style="0" hidden="1" customWidth="1"/>
    <col min="7" max="18" width="8.75390625" style="0" customWidth="1"/>
    <col min="19" max="19" width="8.00390625" style="0" customWidth="1"/>
    <col min="20" max="20" width="11.00390625" style="0" customWidth="1"/>
    <col min="21" max="21" width="6.375" style="8" customWidth="1"/>
    <col min="22" max="22" width="2.875" style="0" customWidth="1"/>
    <col min="23" max="23" width="6.00390625" style="8" customWidth="1"/>
    <col min="24" max="24" width="6.375" style="8" customWidth="1"/>
    <col min="25" max="25" width="2.875" style="0" customWidth="1"/>
    <col min="26" max="26" width="6.00390625" style="8" customWidth="1"/>
    <col min="27" max="27" width="6.375" style="8" customWidth="1"/>
    <col min="28" max="28" width="2.875" style="0" customWidth="1"/>
    <col min="29" max="29" width="6.00390625" style="8" customWidth="1"/>
    <col min="31" max="31" width="9.25390625" style="8" customWidth="1"/>
    <col min="32" max="32" width="15.75390625" style="0" customWidth="1"/>
    <col min="33" max="34" width="12.00390625" style="0" customWidth="1"/>
    <col min="35" max="35" width="6.75390625" style="0" customWidth="1"/>
    <col min="36" max="36" width="4.25390625" style="0" customWidth="1"/>
    <col min="37" max="37" width="10.625" style="0" customWidth="1"/>
    <col min="38" max="38" width="7.375" style="0" customWidth="1"/>
    <col min="39" max="39" width="4.00390625" style="0" customWidth="1"/>
    <col min="40" max="40" width="9.625" style="0" customWidth="1"/>
    <col min="41" max="41" width="6.25390625" style="0" customWidth="1"/>
    <col min="42" max="42" width="3.875" style="0" customWidth="1"/>
    <col min="43" max="43" width="10.75390625" style="0" customWidth="1"/>
    <col min="44" max="44" width="12.875" style="0" customWidth="1"/>
    <col min="45" max="45" width="10.75390625" style="0" customWidth="1"/>
    <col min="46" max="46" width="7.875" style="0" customWidth="1"/>
    <col min="47" max="47" width="3.00390625" style="0" customWidth="1"/>
    <col min="48" max="48" width="7.25390625" style="0" customWidth="1"/>
    <col min="51" max="67" width="9.125" style="247" customWidth="1"/>
    <col min="68" max="68" width="9.00390625" style="247" customWidth="1"/>
    <col min="69" max="69" width="15.125" style="247" customWidth="1"/>
    <col min="70" max="71" width="12.00390625" style="247" customWidth="1"/>
    <col min="72" max="72" width="6.75390625" style="247" customWidth="1"/>
    <col min="73" max="73" width="4.25390625" style="247" customWidth="1"/>
    <col min="74" max="74" width="10.625" style="247" customWidth="1"/>
    <col min="75" max="75" width="7.375" style="247" customWidth="1"/>
    <col min="76" max="76" width="4.00390625" style="247" customWidth="1"/>
    <col min="77" max="77" width="9.625" style="247" customWidth="1"/>
    <col min="78" max="78" width="6.25390625" style="247" customWidth="1"/>
    <col min="79" max="79" width="3.875" style="247" customWidth="1"/>
    <col min="80" max="80" width="10.75390625" style="247" customWidth="1"/>
    <col min="81" max="81" width="12.875" style="247" customWidth="1"/>
    <col min="82" max="82" width="10.75390625" style="247" customWidth="1"/>
    <col min="83" max="83" width="7.875" style="247" customWidth="1"/>
    <col min="84" max="84" width="3.00390625" style="247" customWidth="1"/>
    <col min="85" max="85" width="6.625" style="247" customWidth="1"/>
    <col min="86" max="163" width="9.125" style="247" customWidth="1"/>
  </cols>
  <sheetData>
    <row r="1" spans="1:38" ht="25.5" customHeight="1" thickBot="1">
      <c r="A1" s="146"/>
      <c r="B1" s="146"/>
      <c r="C1" s="146"/>
      <c r="D1" s="146"/>
      <c r="E1" s="146"/>
      <c r="F1" s="146"/>
      <c r="G1" s="146"/>
      <c r="H1" s="146"/>
      <c r="I1" s="146"/>
      <c r="J1" s="146"/>
      <c r="K1" s="146"/>
      <c r="L1" s="146"/>
      <c r="M1" s="146"/>
      <c r="N1" s="146"/>
      <c r="O1" s="146"/>
      <c r="P1" s="146"/>
      <c r="Q1" s="146"/>
      <c r="R1" s="146"/>
      <c r="AE1" s="589" t="s">
        <v>129</v>
      </c>
      <c r="AF1" s="590"/>
      <c r="AG1" s="219">
        <v>1</v>
      </c>
      <c r="AI1" s="589" t="s">
        <v>164</v>
      </c>
      <c r="AJ1" s="594"/>
      <c r="AK1" s="590"/>
      <c r="AL1" s="219">
        <v>1</v>
      </c>
    </row>
    <row r="2" spans="1:18" ht="23.25" customHeight="1" thickBot="1" thickTop="1">
      <c r="A2" s="147"/>
      <c r="B2" s="120" t="s">
        <v>32</v>
      </c>
      <c r="C2" s="230">
        <v>71</v>
      </c>
      <c r="D2" s="230"/>
      <c r="E2" s="230"/>
      <c r="F2" s="230"/>
      <c r="G2" s="121" t="s">
        <v>31</v>
      </c>
      <c r="H2" s="541" t="str">
        <f>VLOOKUP(C2,'税額表'!$E$3:$F$74,2,FALSE)</f>
        <v>吉富中学校</v>
      </c>
      <c r="I2" s="593"/>
      <c r="J2" s="547"/>
      <c r="K2" s="147"/>
      <c r="L2" s="586" t="s">
        <v>153</v>
      </c>
      <c r="M2" s="587"/>
      <c r="N2" s="587"/>
      <c r="O2" s="588"/>
      <c r="P2" s="147"/>
      <c r="Q2" s="147"/>
      <c r="R2" s="147"/>
    </row>
    <row r="3" spans="1:70" ht="23.25" customHeight="1" thickTop="1">
      <c r="A3" s="591"/>
      <c r="B3" s="591"/>
      <c r="C3" s="591"/>
      <c r="D3" s="591"/>
      <c r="E3" s="591"/>
      <c r="F3" s="591"/>
      <c r="G3" s="592"/>
      <c r="H3" s="147"/>
      <c r="I3" s="147"/>
      <c r="J3" s="147"/>
      <c r="K3" s="147"/>
      <c r="L3" s="147"/>
      <c r="M3" s="147"/>
      <c r="N3" s="147"/>
      <c r="O3" s="147"/>
      <c r="P3" s="147"/>
      <c r="Q3" s="147"/>
      <c r="R3" s="147"/>
      <c r="U3" s="595" t="s">
        <v>143</v>
      </c>
      <c r="V3" s="596"/>
      <c r="W3" s="597"/>
      <c r="X3" s="595" t="s">
        <v>144</v>
      </c>
      <c r="Y3" s="596"/>
      <c r="Z3" s="597"/>
      <c r="AA3" s="595" t="s">
        <v>145</v>
      </c>
      <c r="AB3" s="596"/>
      <c r="AC3" s="597"/>
      <c r="AE3" s="116"/>
      <c r="AF3" s="116"/>
      <c r="AG3" s="116"/>
      <c r="BP3" s="251"/>
      <c r="BQ3" s="251"/>
      <c r="BR3" s="251"/>
    </row>
    <row r="4" spans="1:76" ht="20.25">
      <c r="A4" s="148"/>
      <c r="B4" s="121" t="s">
        <v>142</v>
      </c>
      <c r="C4" s="585" t="s">
        <v>136</v>
      </c>
      <c r="D4" s="585"/>
      <c r="E4" s="585"/>
      <c r="F4" s="585"/>
      <c r="G4" s="585"/>
      <c r="H4" s="121" t="s">
        <v>46</v>
      </c>
      <c r="I4" s="121" t="s">
        <v>135</v>
      </c>
      <c r="J4" s="585" t="s">
        <v>126</v>
      </c>
      <c r="K4" s="585"/>
      <c r="L4" s="585" t="s">
        <v>138</v>
      </c>
      <c r="M4" s="585"/>
      <c r="N4" s="585" t="s">
        <v>137</v>
      </c>
      <c r="O4" s="585"/>
      <c r="P4" s="464" t="s">
        <v>141</v>
      </c>
      <c r="Q4" s="121" t="s">
        <v>140</v>
      </c>
      <c r="R4" s="121" t="s">
        <v>139</v>
      </c>
      <c r="S4" s="121" t="s">
        <v>128</v>
      </c>
      <c r="T4" s="121" t="s">
        <v>20</v>
      </c>
      <c r="U4" s="156">
        <v>1</v>
      </c>
      <c r="V4" s="154"/>
      <c r="W4" s="155">
        <v>1</v>
      </c>
      <c r="X4" s="156">
        <v>2</v>
      </c>
      <c r="Y4" s="154"/>
      <c r="Z4" s="155">
        <v>2</v>
      </c>
      <c r="AA4" s="156">
        <v>3</v>
      </c>
      <c r="AB4" s="154"/>
      <c r="AC4" s="155">
        <v>3</v>
      </c>
      <c r="AD4" s="440" t="s">
        <v>239</v>
      </c>
      <c r="AF4" s="33" t="s">
        <v>0</v>
      </c>
      <c r="AG4" s="206">
        <v>30</v>
      </c>
      <c r="AH4" s="32" t="s">
        <v>1</v>
      </c>
      <c r="AI4" s="525">
        <v>5</v>
      </c>
      <c r="AJ4" s="525"/>
      <c r="AK4" s="32" t="s">
        <v>2</v>
      </c>
      <c r="AL4" s="7" t="s">
        <v>3</v>
      </c>
      <c r="AM4" s="7"/>
      <c r="BP4" s="252"/>
      <c r="BQ4" s="253" t="s">
        <v>175</v>
      </c>
      <c r="BR4" s="206">
        <v>19</v>
      </c>
      <c r="BS4" s="254" t="s">
        <v>176</v>
      </c>
      <c r="BT4" s="525">
        <v>3</v>
      </c>
      <c r="BU4" s="525"/>
      <c r="BV4" s="254" t="s">
        <v>177</v>
      </c>
      <c r="BW4" s="255" t="s">
        <v>178</v>
      </c>
      <c r="BX4" s="255"/>
    </row>
    <row r="5" spans="1:68" ht="12.75">
      <c r="A5" s="147"/>
      <c r="B5" s="121">
        <v>1</v>
      </c>
      <c r="C5" s="598" t="s">
        <v>269</v>
      </c>
      <c r="D5" s="598"/>
      <c r="E5" s="598"/>
      <c r="F5" s="598"/>
      <c r="G5" s="598"/>
      <c r="H5" s="409">
        <v>2400</v>
      </c>
      <c r="I5" s="411">
        <v>12</v>
      </c>
      <c r="J5" s="584">
        <f>+H5*P5</f>
        <v>1008000</v>
      </c>
      <c r="K5" s="584"/>
      <c r="L5" s="584">
        <f>+C14</f>
        <v>220800</v>
      </c>
      <c r="M5" s="584"/>
      <c r="N5" s="584">
        <f>+J5-L5</f>
        <v>787200</v>
      </c>
      <c r="O5" s="584"/>
      <c r="P5" s="463">
        <v>420</v>
      </c>
      <c r="Q5" s="410">
        <f>+C13</f>
        <v>92</v>
      </c>
      <c r="R5" s="410">
        <f>+P5-Q5</f>
        <v>328</v>
      </c>
      <c r="S5" s="411">
        <v>213</v>
      </c>
      <c r="T5" s="412" t="s">
        <v>234</v>
      </c>
      <c r="U5" s="405">
        <v>40274</v>
      </c>
      <c r="V5" s="52" t="s">
        <v>146</v>
      </c>
      <c r="W5" s="406">
        <v>40379</v>
      </c>
      <c r="X5" s="405"/>
      <c r="Y5" s="52" t="s">
        <v>47</v>
      </c>
      <c r="Z5" s="406"/>
      <c r="AA5" s="405"/>
      <c r="AB5" s="52" t="s">
        <v>47</v>
      </c>
      <c r="AC5" s="406"/>
      <c r="AD5" s="452" t="s">
        <v>240</v>
      </c>
      <c r="BP5" s="252"/>
    </row>
    <row r="6" spans="1:82" ht="15">
      <c r="A6" s="144"/>
      <c r="B6" s="121">
        <v>2</v>
      </c>
      <c r="C6" s="598" t="s">
        <v>270</v>
      </c>
      <c r="D6" s="598"/>
      <c r="E6" s="598"/>
      <c r="F6" s="598"/>
      <c r="G6" s="598"/>
      <c r="H6" s="409">
        <v>2400</v>
      </c>
      <c r="I6" s="411">
        <v>11</v>
      </c>
      <c r="J6" s="584">
        <f>+H6*P6</f>
        <v>924000</v>
      </c>
      <c r="K6" s="584"/>
      <c r="L6" s="584">
        <f>+C23</f>
        <v>38400</v>
      </c>
      <c r="M6" s="584"/>
      <c r="N6" s="584">
        <f>+J6-L6</f>
        <v>885600</v>
      </c>
      <c r="O6" s="584"/>
      <c r="P6" s="463">
        <v>385</v>
      </c>
      <c r="Q6" s="410">
        <f>+C22</f>
        <v>16</v>
      </c>
      <c r="R6" s="410">
        <f>+P6-Q6</f>
        <v>369</v>
      </c>
      <c r="S6" s="411">
        <v>312</v>
      </c>
      <c r="T6" s="412" t="s">
        <v>234</v>
      </c>
      <c r="U6" s="405">
        <v>40275</v>
      </c>
      <c r="V6" s="55" t="s">
        <v>146</v>
      </c>
      <c r="W6" s="406">
        <v>40379</v>
      </c>
      <c r="X6" s="405"/>
      <c r="Y6" s="55" t="s">
        <v>47</v>
      </c>
      <c r="Z6" s="406"/>
      <c r="AA6" s="405"/>
      <c r="AB6" s="55" t="s">
        <v>47</v>
      </c>
      <c r="AC6" s="406"/>
      <c r="AD6" s="452"/>
      <c r="AF6" t="s">
        <v>30</v>
      </c>
      <c r="AI6" s="578" t="s">
        <v>4</v>
      </c>
      <c r="AJ6" s="579"/>
      <c r="AK6" s="23" t="s">
        <v>23</v>
      </c>
      <c r="AO6" s="578" t="s">
        <v>6</v>
      </c>
      <c r="AP6" s="579"/>
      <c r="AQ6" s="23" t="s">
        <v>28</v>
      </c>
      <c r="AS6" s="22" t="s">
        <v>7</v>
      </c>
      <c r="BP6" s="252"/>
      <c r="BQ6" s="247" t="s">
        <v>179</v>
      </c>
      <c r="BT6" s="526" t="s">
        <v>180</v>
      </c>
      <c r="BU6" s="527"/>
      <c r="BV6" s="256" t="s">
        <v>181</v>
      </c>
      <c r="BZ6" s="526" t="s">
        <v>182</v>
      </c>
      <c r="CA6" s="527"/>
      <c r="CB6" s="256" t="s">
        <v>183</v>
      </c>
      <c r="CD6" s="257" t="s">
        <v>184</v>
      </c>
    </row>
    <row r="7" spans="1:82" ht="13.5" customHeight="1">
      <c r="A7" s="144"/>
      <c r="B7" s="121">
        <v>3</v>
      </c>
      <c r="C7" s="598"/>
      <c r="D7" s="598"/>
      <c r="E7" s="598"/>
      <c r="F7" s="598"/>
      <c r="G7" s="598"/>
      <c r="H7" s="409">
        <v>2400</v>
      </c>
      <c r="I7" s="411"/>
      <c r="J7" s="584">
        <f>+H7*P7</f>
        <v>0</v>
      </c>
      <c r="K7" s="584"/>
      <c r="L7" s="584">
        <f>+C32</f>
        <v>0</v>
      </c>
      <c r="M7" s="584"/>
      <c r="N7" s="584">
        <f>+J7-L7</f>
        <v>0</v>
      </c>
      <c r="O7" s="584"/>
      <c r="P7" s="463"/>
      <c r="Q7" s="410">
        <f>+C31</f>
        <v>0</v>
      </c>
      <c r="R7" s="410">
        <f>+P7-Q7</f>
        <v>0</v>
      </c>
      <c r="S7" s="411"/>
      <c r="T7" s="412"/>
      <c r="U7" s="405"/>
      <c r="V7" s="55" t="s">
        <v>146</v>
      </c>
      <c r="W7" s="406"/>
      <c r="X7" s="405"/>
      <c r="Y7" s="55" t="s">
        <v>47</v>
      </c>
      <c r="Z7" s="406"/>
      <c r="AA7" s="405"/>
      <c r="AB7" s="55" t="s">
        <v>47</v>
      </c>
      <c r="AC7" s="406"/>
      <c r="AD7" s="452"/>
      <c r="AF7" t="s">
        <v>5</v>
      </c>
      <c r="AI7" s="576"/>
      <c r="AJ7" s="577"/>
      <c r="AK7" s="23" t="s">
        <v>24</v>
      </c>
      <c r="AO7" s="576"/>
      <c r="AP7" s="577"/>
      <c r="AS7" s="24" t="s">
        <v>8</v>
      </c>
      <c r="BP7" s="252"/>
      <c r="BQ7" s="247" t="s">
        <v>185</v>
      </c>
      <c r="BT7" s="528"/>
      <c r="BU7" s="529"/>
      <c r="BV7" s="256" t="s">
        <v>186</v>
      </c>
      <c r="BZ7" s="528"/>
      <c r="CA7" s="529"/>
      <c r="CD7" s="258" t="s">
        <v>187</v>
      </c>
    </row>
    <row r="8" spans="1:82" ht="15">
      <c r="A8" s="144"/>
      <c r="B8" s="121">
        <v>4</v>
      </c>
      <c r="C8" s="598"/>
      <c r="D8" s="598"/>
      <c r="E8" s="598"/>
      <c r="F8" s="598"/>
      <c r="G8" s="598"/>
      <c r="H8" s="409">
        <v>2400</v>
      </c>
      <c r="I8" s="411"/>
      <c r="J8" s="584">
        <f>+H8*P8</f>
        <v>0</v>
      </c>
      <c r="K8" s="584"/>
      <c r="L8" s="584">
        <f>+C41</f>
        <v>0</v>
      </c>
      <c r="M8" s="584"/>
      <c r="N8" s="584">
        <f>+J8-L8</f>
        <v>0</v>
      </c>
      <c r="O8" s="584"/>
      <c r="P8" s="463"/>
      <c r="Q8" s="410">
        <f>+C40</f>
        <v>0</v>
      </c>
      <c r="R8" s="410">
        <f>+P8-Q8</f>
        <v>0</v>
      </c>
      <c r="S8" s="411"/>
      <c r="T8" s="412"/>
      <c r="U8" s="405"/>
      <c r="V8" s="55" t="s">
        <v>146</v>
      </c>
      <c r="W8" s="406"/>
      <c r="X8" s="405"/>
      <c r="Y8" s="55" t="s">
        <v>47</v>
      </c>
      <c r="Z8" s="406"/>
      <c r="AA8" s="405"/>
      <c r="AB8" s="55" t="s">
        <v>47</v>
      </c>
      <c r="AC8" s="406"/>
      <c r="AD8" s="452"/>
      <c r="AI8" s="576"/>
      <c r="AJ8" s="577"/>
      <c r="AO8" s="576"/>
      <c r="AP8" s="577"/>
      <c r="AS8" s="3"/>
      <c r="BP8" s="252"/>
      <c r="BT8" s="528"/>
      <c r="BU8" s="529"/>
      <c r="BZ8" s="528"/>
      <c r="CA8" s="529"/>
      <c r="CD8" s="259"/>
    </row>
    <row r="9" spans="2:84" ht="12.75" customHeight="1">
      <c r="B9" s="121">
        <v>5</v>
      </c>
      <c r="C9" s="598"/>
      <c r="D9" s="598"/>
      <c r="E9" s="598"/>
      <c r="F9" s="598"/>
      <c r="G9" s="598"/>
      <c r="H9" s="409">
        <v>2400</v>
      </c>
      <c r="I9" s="411"/>
      <c r="J9" s="584">
        <f>+H9*P9</f>
        <v>0</v>
      </c>
      <c r="K9" s="584"/>
      <c r="L9" s="584">
        <f>+C50</f>
        <v>0</v>
      </c>
      <c r="M9" s="584"/>
      <c r="N9" s="584">
        <f>+J9-L9</f>
        <v>0</v>
      </c>
      <c r="O9" s="584"/>
      <c r="P9" s="463"/>
      <c r="Q9" s="410">
        <f>+C49</f>
        <v>0</v>
      </c>
      <c r="R9" s="410">
        <f>+P9-Q9</f>
        <v>0</v>
      </c>
      <c r="S9" s="411"/>
      <c r="T9" s="412"/>
      <c r="U9" s="405"/>
      <c r="V9" s="41" t="s">
        <v>146</v>
      </c>
      <c r="W9" s="406"/>
      <c r="X9" s="413"/>
      <c r="Y9" s="41" t="s">
        <v>47</v>
      </c>
      <c r="Z9" s="414"/>
      <c r="AA9" s="413"/>
      <c r="AB9" s="41" t="s">
        <v>47</v>
      </c>
      <c r="AC9" s="414"/>
      <c r="AD9" s="452"/>
      <c r="AG9" t="s">
        <v>22</v>
      </c>
      <c r="AI9" s="580"/>
      <c r="AJ9" s="581"/>
      <c r="AK9" t="s">
        <v>25</v>
      </c>
      <c r="AL9" t="s">
        <v>26</v>
      </c>
      <c r="AO9" s="580"/>
      <c r="AP9" s="581"/>
      <c r="AQ9" t="s">
        <v>27</v>
      </c>
      <c r="AS9" s="2"/>
      <c r="AU9" s="29" t="s">
        <v>29</v>
      </c>
      <c r="BP9" s="252"/>
      <c r="BR9" s="247" t="s">
        <v>188</v>
      </c>
      <c r="BT9" s="523"/>
      <c r="BU9" s="524"/>
      <c r="BV9" s="247" t="s">
        <v>189</v>
      </c>
      <c r="BW9" s="247" t="s">
        <v>190</v>
      </c>
      <c r="BZ9" s="523"/>
      <c r="CA9" s="524"/>
      <c r="CB9" s="247" t="s">
        <v>191</v>
      </c>
      <c r="CD9" s="260"/>
      <c r="CF9" s="261" t="s">
        <v>29</v>
      </c>
    </row>
    <row r="10" ht="12.75" customHeight="1" thickBot="1">
      <c r="BP10" s="252"/>
    </row>
    <row r="11" spans="2:85" ht="12.75" customHeight="1">
      <c r="B11" s="123" t="s">
        <v>155</v>
      </c>
      <c r="C11" s="141" t="s">
        <v>125</v>
      </c>
      <c r="D11" s="141">
        <f aca="true" t="shared" si="0" ref="D11:F18">P11</f>
        <v>1</v>
      </c>
      <c r="E11" s="141">
        <f t="shared" si="0"/>
        <v>2</v>
      </c>
      <c r="F11" s="141">
        <f t="shared" si="0"/>
        <v>3</v>
      </c>
      <c r="G11" s="124">
        <v>4</v>
      </c>
      <c r="H11" s="124">
        <v>5</v>
      </c>
      <c r="I11" s="124">
        <v>6</v>
      </c>
      <c r="J11" s="124">
        <v>7</v>
      </c>
      <c r="K11" s="124">
        <v>8</v>
      </c>
      <c r="L11" s="124">
        <v>9</v>
      </c>
      <c r="M11" s="124">
        <v>10</v>
      </c>
      <c r="N11" s="124">
        <v>11</v>
      </c>
      <c r="O11" s="124">
        <v>12</v>
      </c>
      <c r="P11" s="124">
        <v>1</v>
      </c>
      <c r="Q11" s="124">
        <v>2</v>
      </c>
      <c r="R11" s="124">
        <v>3</v>
      </c>
      <c r="AE11" s="582" t="s">
        <v>9</v>
      </c>
      <c r="AF11" s="568" t="s">
        <v>13</v>
      </c>
      <c r="AG11" s="77"/>
      <c r="AH11" s="570" t="s">
        <v>10</v>
      </c>
      <c r="AI11" s="570"/>
      <c r="AJ11" s="570"/>
      <c r="AK11" s="570"/>
      <c r="AL11" s="536"/>
      <c r="AM11" s="537"/>
      <c r="AN11" s="549" t="s">
        <v>21</v>
      </c>
      <c r="AO11" s="536"/>
      <c r="AP11" s="536"/>
      <c r="AQ11" s="537"/>
      <c r="AR11" s="78" t="s">
        <v>18</v>
      </c>
      <c r="AS11" s="568" t="s">
        <v>12</v>
      </c>
      <c r="AT11" s="560" t="s">
        <v>17</v>
      </c>
      <c r="AU11" s="561"/>
      <c r="AV11" s="562"/>
      <c r="BP11" s="514" t="s">
        <v>192</v>
      </c>
      <c r="BQ11" s="501" t="s">
        <v>193</v>
      </c>
      <c r="BR11" s="263"/>
      <c r="BS11" s="516" t="s">
        <v>194</v>
      </c>
      <c r="BT11" s="516"/>
      <c r="BU11" s="516"/>
      <c r="BV11" s="516"/>
      <c r="BW11" s="517"/>
      <c r="BX11" s="518"/>
      <c r="BY11" s="519" t="s">
        <v>195</v>
      </c>
      <c r="BZ11" s="517"/>
      <c r="CA11" s="517"/>
      <c r="CB11" s="518"/>
      <c r="CC11" s="264" t="s">
        <v>196</v>
      </c>
      <c r="CD11" s="501" t="s">
        <v>197</v>
      </c>
      <c r="CE11" s="503" t="s">
        <v>198</v>
      </c>
      <c r="CF11" s="504"/>
      <c r="CG11" s="505"/>
    </row>
    <row r="12" spans="2:85" ht="12.75" customHeight="1">
      <c r="B12" s="125" t="s">
        <v>133</v>
      </c>
      <c r="C12" s="125" t="s">
        <v>132</v>
      </c>
      <c r="D12" s="125" t="str">
        <f t="shared" si="0"/>
        <v>時数</v>
      </c>
      <c r="E12" s="125" t="str">
        <f t="shared" si="0"/>
        <v>時数</v>
      </c>
      <c r="F12" s="125" t="str">
        <f t="shared" si="0"/>
        <v>時数</v>
      </c>
      <c r="G12" s="125" t="s">
        <v>130</v>
      </c>
      <c r="H12" s="125" t="s">
        <v>130</v>
      </c>
      <c r="I12" s="125" t="s">
        <v>130</v>
      </c>
      <c r="J12" s="125" t="s">
        <v>130</v>
      </c>
      <c r="K12" s="125" t="s">
        <v>130</v>
      </c>
      <c r="L12" s="125" t="s">
        <v>130</v>
      </c>
      <c r="M12" s="125" t="s">
        <v>130</v>
      </c>
      <c r="N12" s="125" t="s">
        <v>130</v>
      </c>
      <c r="O12" s="125" t="s">
        <v>130</v>
      </c>
      <c r="P12" s="125" t="s">
        <v>130</v>
      </c>
      <c r="Q12" s="125" t="s">
        <v>130</v>
      </c>
      <c r="R12" s="125" t="s">
        <v>130</v>
      </c>
      <c r="AE12" s="583"/>
      <c r="AF12" s="569"/>
      <c r="AG12" s="81" t="s">
        <v>14</v>
      </c>
      <c r="AH12" s="81" t="s">
        <v>15</v>
      </c>
      <c r="AI12" s="541"/>
      <c r="AJ12" s="547"/>
      <c r="AK12" s="81"/>
      <c r="AL12" s="541" t="s">
        <v>16</v>
      </c>
      <c r="AM12" s="542"/>
      <c r="AN12" s="82" t="s">
        <v>11</v>
      </c>
      <c r="AO12" s="550" t="str">
        <f>IF(OR($AO$15&gt;0,$AO$19&gt;0,$AO$23&gt;0,AO27&gt;0,AO31&gt;0),"雇用保険料","")</f>
        <v>雇用保険料</v>
      </c>
      <c r="AP12" s="551"/>
      <c r="AQ12" s="83" t="s">
        <v>16</v>
      </c>
      <c r="AR12" s="84" t="s">
        <v>10</v>
      </c>
      <c r="AS12" s="569"/>
      <c r="AT12" s="563"/>
      <c r="AU12" s="564"/>
      <c r="AV12" s="565"/>
      <c r="BP12" s="515"/>
      <c r="BQ12" s="502"/>
      <c r="BR12" s="267" t="s">
        <v>199</v>
      </c>
      <c r="BS12" s="267" t="s">
        <v>200</v>
      </c>
      <c r="BT12" s="509"/>
      <c r="BU12" s="510"/>
      <c r="BV12" s="267"/>
      <c r="BW12" s="509" t="s">
        <v>201</v>
      </c>
      <c r="BX12" s="511"/>
      <c r="BY12" s="268" t="s">
        <v>202</v>
      </c>
      <c r="BZ12" s="509"/>
      <c r="CA12" s="510"/>
      <c r="CB12" s="269" t="s">
        <v>201</v>
      </c>
      <c r="CC12" s="270" t="s">
        <v>194</v>
      </c>
      <c r="CD12" s="502"/>
      <c r="CE12" s="506"/>
      <c r="CF12" s="507"/>
      <c r="CG12" s="508"/>
    </row>
    <row r="13" spans="2:85" ht="12.75" customHeight="1">
      <c r="B13" s="126">
        <f>+P5</f>
        <v>420</v>
      </c>
      <c r="C13" s="127">
        <f>SUM(G13:R13)</f>
        <v>92</v>
      </c>
      <c r="D13" s="127">
        <f t="shared" si="0"/>
        <v>0</v>
      </c>
      <c r="E13" s="127">
        <f t="shared" si="0"/>
        <v>0</v>
      </c>
      <c r="F13" s="127">
        <f t="shared" si="0"/>
        <v>0</v>
      </c>
      <c r="G13" s="217">
        <v>12</v>
      </c>
      <c r="H13" s="217">
        <v>80</v>
      </c>
      <c r="I13" s="217"/>
      <c r="J13" s="217"/>
      <c r="K13" s="217"/>
      <c r="L13" s="217"/>
      <c r="M13" s="217"/>
      <c r="N13" s="217"/>
      <c r="O13" s="217"/>
      <c r="P13" s="217"/>
      <c r="Q13" s="217"/>
      <c r="R13" s="217"/>
      <c r="S13" s="599">
        <f>IF(AND((Q5/P5)&gt;0.8,(Q5/P5)&lt;=0.9),"予算残が２０％以下になっています",IF(AND((Q5/P5)&gt;0.9,(Q5/P5)&lt;1),"予算残が１０％以下になっています",IF(Q5&gt;P5,"予算を超えています","")))</f>
      </c>
      <c r="T13" s="600"/>
      <c r="U13" s="600"/>
      <c r="V13" s="600"/>
      <c r="W13" s="600"/>
      <c r="X13" s="600"/>
      <c r="Y13" s="600"/>
      <c r="Z13" s="600"/>
      <c r="AE13" s="149"/>
      <c r="AF13" s="86"/>
      <c r="AG13" s="91"/>
      <c r="AH13" s="91"/>
      <c r="AI13" s="544"/>
      <c r="AJ13" s="545"/>
      <c r="AK13" s="91"/>
      <c r="AL13" s="92"/>
      <c r="AM13" s="94"/>
      <c r="AN13" s="95"/>
      <c r="AO13" s="552"/>
      <c r="AP13" s="553"/>
      <c r="AQ13" s="96"/>
      <c r="AR13" s="93"/>
      <c r="AS13" s="571"/>
      <c r="AT13" s="483" t="str">
        <f>IF(AND(0&lt;$AG$1,$AG$1&lt;6),+T5,"")</f>
        <v>学力アップ</v>
      </c>
      <c r="AU13" s="484"/>
      <c r="AV13" s="485"/>
      <c r="BP13" s="271"/>
      <c r="BQ13" s="272"/>
      <c r="BR13" s="273"/>
      <c r="BS13" s="273"/>
      <c r="BT13" s="497"/>
      <c r="BU13" s="498"/>
      <c r="BV13" s="273"/>
      <c r="BW13" s="274"/>
      <c r="BX13" s="276"/>
      <c r="BY13" s="277"/>
      <c r="BZ13" s="497"/>
      <c r="CA13" s="498"/>
      <c r="CB13" s="278"/>
      <c r="CC13" s="275"/>
      <c r="CD13" s="520"/>
      <c r="CE13" s="279">
        <v>0</v>
      </c>
      <c r="CF13" s="280"/>
      <c r="CG13" s="281"/>
    </row>
    <row r="14" spans="2:85" ht="12.75" customHeight="1">
      <c r="B14" s="128">
        <f>+J5</f>
        <v>1008000</v>
      </c>
      <c r="C14" s="129">
        <f>SUM(G14:R14)</f>
        <v>220800</v>
      </c>
      <c r="D14" s="129">
        <f t="shared" si="0"/>
        <v>0</v>
      </c>
      <c r="E14" s="129">
        <f t="shared" si="0"/>
        <v>0</v>
      </c>
      <c r="F14" s="129">
        <f t="shared" si="0"/>
        <v>0</v>
      </c>
      <c r="G14" s="128">
        <f aca="true" t="shared" si="1" ref="G14:R14">+$H$5*G13</f>
        <v>28800</v>
      </c>
      <c r="H14" s="128">
        <f t="shared" si="1"/>
        <v>192000</v>
      </c>
      <c r="I14" s="128">
        <f t="shared" si="1"/>
        <v>0</v>
      </c>
      <c r="J14" s="128">
        <f t="shared" si="1"/>
        <v>0</v>
      </c>
      <c r="K14" s="128">
        <f t="shared" si="1"/>
        <v>0</v>
      </c>
      <c r="L14" s="128">
        <f t="shared" si="1"/>
        <v>0</v>
      </c>
      <c r="M14" s="128">
        <f t="shared" si="1"/>
        <v>0</v>
      </c>
      <c r="N14" s="128">
        <f t="shared" si="1"/>
        <v>0</v>
      </c>
      <c r="O14" s="128">
        <f t="shared" si="1"/>
        <v>0</v>
      </c>
      <c r="P14" s="128">
        <f t="shared" si="1"/>
        <v>0</v>
      </c>
      <c r="Q14" s="128">
        <f t="shared" si="1"/>
        <v>0</v>
      </c>
      <c r="R14" s="128">
        <f t="shared" si="1"/>
        <v>0</v>
      </c>
      <c r="S14" s="599"/>
      <c r="T14" s="600"/>
      <c r="U14" s="600"/>
      <c r="V14" s="600"/>
      <c r="W14" s="600"/>
      <c r="X14" s="600"/>
      <c r="Y14" s="600"/>
      <c r="Z14" s="600"/>
      <c r="AE14" s="150" t="str">
        <f>IF(AND(0&lt;$AG$1,$AG$1&lt;6),"非常勤","")</f>
        <v>非常勤</v>
      </c>
      <c r="AF14" s="118"/>
      <c r="AG14" s="97"/>
      <c r="AH14" s="97"/>
      <c r="AI14" s="530"/>
      <c r="AJ14" s="531"/>
      <c r="AK14" s="97"/>
      <c r="AL14" s="98"/>
      <c r="AM14" s="100"/>
      <c r="AN14" s="101"/>
      <c r="AO14" s="554">
        <v>15</v>
      </c>
      <c r="AP14" s="555"/>
      <c r="AQ14" s="102"/>
      <c r="AR14" s="99"/>
      <c r="AS14" s="572"/>
      <c r="AT14" s="168">
        <f>IF(AND(0&lt;$AG$1,$AG$1&lt;6,$AL$1=1),+U5,IF(AND(0&lt;$AG$1,$AG$1&lt;6,$AL$1=2),+X5,IF(AND(0&lt;$AG$1,$AG$1&lt;6,$AL$1=3),+AA5,"")))</f>
        <v>40274</v>
      </c>
      <c r="AU14" s="162" t="str">
        <f>IF(AT14&gt;0,"～",FALSE)</f>
        <v>～</v>
      </c>
      <c r="AV14" s="171">
        <f>IF(AND(0&lt;$AG$1,$AG$1&lt;6,$AL$1=1),+W5,IF(AND(0&lt;$AG$1,$AG$1&lt;6,$AL$1=2),+Z5,IF(AND(0&lt;$AG$1,$AG$1&lt;6,$AL$1=3),+AC5,"")))</f>
        <v>40379</v>
      </c>
      <c r="BP14" s="282" t="s">
        <v>170</v>
      </c>
      <c r="BQ14" s="283"/>
      <c r="BR14" s="284"/>
      <c r="BS14" s="284"/>
      <c r="BT14" s="481"/>
      <c r="BU14" s="482"/>
      <c r="BV14" s="284"/>
      <c r="BW14" s="285"/>
      <c r="BX14" s="287"/>
      <c r="BY14" s="288"/>
      <c r="BZ14" s="481"/>
      <c r="CA14" s="482"/>
      <c r="CB14" s="289"/>
      <c r="CC14" s="286"/>
      <c r="CD14" s="521"/>
      <c r="CE14" s="290">
        <v>0</v>
      </c>
      <c r="CF14" s="291" t="b">
        <v>0</v>
      </c>
      <c r="CG14" s="292">
        <v>0</v>
      </c>
    </row>
    <row r="15" spans="2:85" ht="12.75" customHeight="1">
      <c r="B15" s="130" t="s">
        <v>134</v>
      </c>
      <c r="C15" s="132" t="s">
        <v>131</v>
      </c>
      <c r="D15" s="132" t="str">
        <f t="shared" si="0"/>
        <v>日数</v>
      </c>
      <c r="E15" s="132" t="str">
        <f t="shared" si="0"/>
        <v>日数</v>
      </c>
      <c r="F15" s="132" t="str">
        <f t="shared" si="0"/>
        <v>日数</v>
      </c>
      <c r="G15" s="125" t="s">
        <v>127</v>
      </c>
      <c r="H15" s="125" t="s">
        <v>127</v>
      </c>
      <c r="I15" s="125" t="s">
        <v>127</v>
      </c>
      <c r="J15" s="125" t="s">
        <v>127</v>
      </c>
      <c r="K15" s="125" t="s">
        <v>127</v>
      </c>
      <c r="L15" s="125" t="s">
        <v>127</v>
      </c>
      <c r="M15" s="125" t="s">
        <v>127</v>
      </c>
      <c r="N15" s="125" t="s">
        <v>127</v>
      </c>
      <c r="O15" s="125" t="s">
        <v>127</v>
      </c>
      <c r="P15" s="125" t="s">
        <v>127</v>
      </c>
      <c r="Q15" s="125" t="s">
        <v>127</v>
      </c>
      <c r="R15" s="125" t="s">
        <v>127</v>
      </c>
      <c r="AE15" s="150" t="str">
        <f>IF(AND(0&lt;$AG$1,$AG$1&lt;6),"講　師","")</f>
        <v>講　師</v>
      </c>
      <c r="AF15" s="88" t="str">
        <f>IF(AND(0&lt;$AG$1,$AG$1&lt;6),+C5,"")</f>
        <v>京築　太郎</v>
      </c>
      <c r="AG15" s="97"/>
      <c r="AH15" s="97">
        <f>IF(AND(0&lt;$AG$1,$AG$1&lt;6,1&lt;$AI$4),HLOOKUP($AI$4-1,$D$11:$R$18,8),IF(AND(0&lt;$AG$1,$AG$1&lt;6,$AI$4=1),HLOOKUP($AI$4+11,$D$11:$R$18,8),""))</f>
        <v>0</v>
      </c>
      <c r="AI15" s="530"/>
      <c r="AJ15" s="531"/>
      <c r="AK15" s="97"/>
      <c r="AL15" s="98"/>
      <c r="AM15" s="100"/>
      <c r="AN15" s="101"/>
      <c r="AO15" s="552">
        <f>IF(AD5="","",IF(((AL16*0.003)-INT(AL16*0.003))=0.5,ROUNDDOWN(AL16*0.003,0),ROUND(AL16*0.003,0)))</f>
        <v>86</v>
      </c>
      <c r="AP15" s="553"/>
      <c r="AQ15" s="102"/>
      <c r="AR15" s="99"/>
      <c r="AS15" s="572"/>
      <c r="AT15" s="169">
        <f>IF(AND(0&lt;$AG$1,$AG$1&lt;6,AH15&gt;0),+S5,"")</f>
      </c>
      <c r="AU15" s="163">
        <f>IF(AND(0&lt;$AG$1,$AG$1&lt;6,AH15&gt;0),"×","")</f>
      </c>
      <c r="AV15" s="172">
        <f>IF(AND(0&lt;$AG$1,$AG$1&lt;6,AH15&gt;0,1&lt;$AI$4),HLOOKUP($AI$4-1,$D$11:$O$18,6),IF(AND(0&lt;$AG$1,$AG$1&lt;6,AH15&gt;0,$AI$4=1),HLOOKUP($AI$4+11,$D$11:$O$18,6),""))</f>
      </c>
      <c r="BP15" s="282" t="s">
        <v>171</v>
      </c>
      <c r="BQ15" s="293">
        <v>0</v>
      </c>
      <c r="BR15" s="284"/>
      <c r="BS15" s="284">
        <v>0</v>
      </c>
      <c r="BT15" s="481"/>
      <c r="BU15" s="482"/>
      <c r="BV15" s="284"/>
      <c r="BW15" s="285"/>
      <c r="BX15" s="287"/>
      <c r="BY15" s="288"/>
      <c r="BZ15" s="481"/>
      <c r="CA15" s="482"/>
      <c r="CB15" s="289"/>
      <c r="CC15" s="286"/>
      <c r="CD15" s="521"/>
      <c r="CE15" s="294" t="s">
        <v>172</v>
      </c>
      <c r="CF15" s="295" t="s">
        <v>172</v>
      </c>
      <c r="CG15" s="296" t="s">
        <v>172</v>
      </c>
    </row>
    <row r="16" spans="2:85" ht="12.75" customHeight="1">
      <c r="B16" s="127"/>
      <c r="C16" s="142">
        <f>SUM(G16:R16)</f>
        <v>9</v>
      </c>
      <c r="D16" s="142">
        <f t="shared" si="0"/>
        <v>0</v>
      </c>
      <c r="E16" s="142">
        <f t="shared" si="0"/>
        <v>0</v>
      </c>
      <c r="F16" s="142">
        <f t="shared" si="0"/>
        <v>0</v>
      </c>
      <c r="G16" s="217">
        <v>4</v>
      </c>
      <c r="H16" s="217">
        <v>5</v>
      </c>
      <c r="I16" s="217"/>
      <c r="J16" s="217"/>
      <c r="K16" s="217"/>
      <c r="L16" s="217"/>
      <c r="M16" s="217"/>
      <c r="N16" s="217"/>
      <c r="O16" s="217"/>
      <c r="P16" s="217"/>
      <c r="Q16" s="217"/>
      <c r="R16" s="217"/>
      <c r="AE16" s="150"/>
      <c r="AF16" s="80"/>
      <c r="AG16" s="103"/>
      <c r="AH16" s="97">
        <f>IF(AND(0&lt;$AG$1,$AG$1&lt;6,1&lt;$AI$4),HLOOKUP($AI$4-1,$D$11:$R$18,4),IF(AND(0&lt;$AG$1,$AG$1&lt;6,$AI$4=1),HLOOKUP($AI$4+11,$D$11:$R$18,4),""))</f>
        <v>28800</v>
      </c>
      <c r="AI16" s="530"/>
      <c r="AJ16" s="531"/>
      <c r="AK16" s="103"/>
      <c r="AL16" s="532">
        <f>SUM(AG13:AK16)</f>
        <v>28800</v>
      </c>
      <c r="AM16" s="533"/>
      <c r="AN16" s="105">
        <f>IF((AH16-SUM(AO14:AP16))&lt;88000,INT((AH16-SUM(AO14:AP16))*0.03063),VLOOKUP((AH16-SUM(AO14:AP16)),'税額表'!$B$3:$C$118,2,TRUE))</f>
        <v>879</v>
      </c>
      <c r="AO16" s="552"/>
      <c r="AP16" s="553"/>
      <c r="AQ16" s="106">
        <f>SUM(AN13:AP16)</f>
        <v>980</v>
      </c>
      <c r="AR16" s="107">
        <f>+AL16-AQ16</f>
        <v>27820</v>
      </c>
      <c r="AS16" s="573"/>
      <c r="AT16" s="169">
        <f>IF(AND(0&lt;$AG$1,$AG$1&lt;6),+H5,"")</f>
        <v>2400</v>
      </c>
      <c r="AU16" s="163" t="str">
        <f>IF(AND(0&lt;$AG$1,$AG$1&lt;6),"×","")</f>
        <v>×</v>
      </c>
      <c r="AV16" s="173">
        <f>IF(AND(0&lt;$AG$1,$AG$1&lt;6,AH16&gt;0,1&lt;$AI$4),HLOOKUP($AI$4-1,$D$11:$O$18,3),IF(AND(0&lt;$AG$1,$AG$1&lt;6,AH16&gt;0,$AI$4=1),HLOOKUP($AI$4+11,$D$11:$O$18,3),""))</f>
        <v>12</v>
      </c>
      <c r="BP16" s="282"/>
      <c r="BQ16" s="266"/>
      <c r="BR16" s="297"/>
      <c r="BS16" s="284">
        <v>0</v>
      </c>
      <c r="BT16" s="481"/>
      <c r="BU16" s="482"/>
      <c r="BV16" s="297"/>
      <c r="BW16" s="489">
        <v>0</v>
      </c>
      <c r="BX16" s="490"/>
      <c r="BY16" s="299">
        <v>0</v>
      </c>
      <c r="BZ16" s="481"/>
      <c r="CA16" s="482"/>
      <c r="CB16" s="300">
        <v>0</v>
      </c>
      <c r="CC16" s="301">
        <v>0</v>
      </c>
      <c r="CD16" s="522"/>
      <c r="CE16" s="294">
        <v>2380</v>
      </c>
      <c r="CF16" s="295" t="s">
        <v>173</v>
      </c>
      <c r="CG16" s="302">
        <v>0</v>
      </c>
    </row>
    <row r="17" spans="1:85" ht="12.75" customHeight="1">
      <c r="A17" s="145"/>
      <c r="B17" s="127"/>
      <c r="C17" s="176" t="s">
        <v>150</v>
      </c>
      <c r="D17" s="176">
        <f t="shared" si="0"/>
        <v>0</v>
      </c>
      <c r="E17" s="176">
        <f t="shared" si="0"/>
        <v>0</v>
      </c>
      <c r="F17" s="176">
        <f t="shared" si="0"/>
        <v>0</v>
      </c>
      <c r="G17" s="218"/>
      <c r="H17" s="218">
        <v>1</v>
      </c>
      <c r="I17" s="218"/>
      <c r="J17" s="218"/>
      <c r="K17" s="218"/>
      <c r="L17" s="218"/>
      <c r="M17" s="218"/>
      <c r="N17" s="218"/>
      <c r="O17" s="218"/>
      <c r="P17" s="218"/>
      <c r="Q17" s="218"/>
      <c r="R17" s="218"/>
      <c r="S17" s="58" t="s">
        <v>154</v>
      </c>
      <c r="T17" s="202"/>
      <c r="U17" s="203"/>
      <c r="V17" s="202"/>
      <c r="W17" s="203"/>
      <c r="X17" s="203"/>
      <c r="AE17" s="149"/>
      <c r="AF17" s="86"/>
      <c r="AG17" s="91"/>
      <c r="AH17" s="91"/>
      <c r="AI17" s="544"/>
      <c r="AJ17" s="545"/>
      <c r="AK17" s="91"/>
      <c r="AL17" s="92"/>
      <c r="AM17" s="94"/>
      <c r="AN17" s="95"/>
      <c r="AO17" s="556"/>
      <c r="AP17" s="557"/>
      <c r="AQ17" s="96"/>
      <c r="AR17" s="93"/>
      <c r="AS17" s="571"/>
      <c r="AT17" s="159">
        <f>IF(1&lt;$AG$1,+T6,"")</f>
      </c>
      <c r="AU17" s="160"/>
      <c r="AV17" s="161"/>
      <c r="BP17" s="271"/>
      <c r="BQ17" s="272"/>
      <c r="BR17" s="273"/>
      <c r="BS17" s="273"/>
      <c r="BT17" s="497"/>
      <c r="BU17" s="498"/>
      <c r="BV17" s="273"/>
      <c r="BW17" s="274"/>
      <c r="BX17" s="276"/>
      <c r="BY17" s="277"/>
      <c r="BZ17" s="497"/>
      <c r="CA17" s="498"/>
      <c r="CB17" s="278"/>
      <c r="CC17" s="275"/>
      <c r="CD17" s="520"/>
      <c r="CE17" s="279" t="s">
        <v>172</v>
      </c>
      <c r="CF17" s="280"/>
      <c r="CG17" s="303"/>
    </row>
    <row r="18" spans="1:85" ht="12.75" customHeight="1">
      <c r="A18" s="145"/>
      <c r="B18" s="128"/>
      <c r="C18" s="134">
        <f>SUM(G18:R18)</f>
        <v>1065</v>
      </c>
      <c r="D18" s="134">
        <f t="shared" si="0"/>
        <v>0</v>
      </c>
      <c r="E18" s="134">
        <f t="shared" si="0"/>
        <v>0</v>
      </c>
      <c r="F18" s="134">
        <f t="shared" si="0"/>
        <v>0</v>
      </c>
      <c r="G18" s="128">
        <f aca="true" t="shared" si="2" ref="G18:R18">IF(G17=1,+$S$5*G16,0)</f>
        <v>0</v>
      </c>
      <c r="H18" s="128">
        <f t="shared" si="2"/>
        <v>1065</v>
      </c>
      <c r="I18" s="128">
        <f t="shared" si="2"/>
        <v>0</v>
      </c>
      <c r="J18" s="128">
        <f t="shared" si="2"/>
        <v>0</v>
      </c>
      <c r="K18" s="128">
        <f t="shared" si="2"/>
        <v>0</v>
      </c>
      <c r="L18" s="128">
        <f t="shared" si="2"/>
        <v>0</v>
      </c>
      <c r="M18" s="128">
        <f t="shared" si="2"/>
        <v>0</v>
      </c>
      <c r="N18" s="128">
        <f t="shared" si="2"/>
        <v>0</v>
      </c>
      <c r="O18" s="128">
        <f t="shared" si="2"/>
        <v>0</v>
      </c>
      <c r="P18" s="128">
        <f t="shared" si="2"/>
        <v>0</v>
      </c>
      <c r="Q18" s="128">
        <f t="shared" si="2"/>
        <v>0</v>
      </c>
      <c r="R18" s="128">
        <f t="shared" si="2"/>
        <v>0</v>
      </c>
      <c r="AE18" s="150">
        <f>IF(AND(1&lt;$AG$1,$AG$1&lt;6),"非常勤","")</f>
      </c>
      <c r="AF18" s="118"/>
      <c r="AG18" s="97"/>
      <c r="AH18" s="97"/>
      <c r="AI18" s="530"/>
      <c r="AJ18" s="531"/>
      <c r="AK18" s="97"/>
      <c r="AL18" s="98"/>
      <c r="AM18" s="100"/>
      <c r="AN18" s="101"/>
      <c r="AO18" s="554"/>
      <c r="AP18" s="555"/>
      <c r="AQ18" s="102"/>
      <c r="AR18" s="99"/>
      <c r="AS18" s="572"/>
      <c r="AT18" s="168">
        <f>IF(AND(1&lt;$AG$1,$AG$1&lt;6,$AL$1=1),+U6,IF(AND(1&lt;$AG$1,$AG$1&lt;6,$AL$1=2),+X6,IF(AND(1&lt;$AG$1,$AG$1&lt;6,$AL$1=3),+AA6,"")))</f>
      </c>
      <c r="AU18" s="163">
        <f>IF(AND(1&lt;$AG$1,$AG$1&lt;6),"～","")</f>
      </c>
      <c r="AV18" s="171">
        <f>IF(AND(1&lt;$AG$1,$AG$1&lt;6,$AL$1=1),+W6,IF(AND(1&lt;$AG$1,$AG$1&lt;6,$AL$1=2),+Z6,IF(AND(1&lt;$AG$1,$AG$1&lt;6,$AL$1=3),+AC6,"")))</f>
      </c>
      <c r="BP18" s="282" t="s">
        <v>172</v>
      </c>
      <c r="BQ18" s="283"/>
      <c r="BR18" s="284"/>
      <c r="BS18" s="284"/>
      <c r="BT18" s="481"/>
      <c r="BU18" s="482"/>
      <c r="BV18" s="284"/>
      <c r="BW18" s="285"/>
      <c r="BX18" s="287"/>
      <c r="BY18" s="288"/>
      <c r="BZ18" s="481"/>
      <c r="CA18" s="482"/>
      <c r="CB18" s="289"/>
      <c r="CC18" s="286"/>
      <c r="CD18" s="521"/>
      <c r="CE18" s="290" t="s">
        <v>172</v>
      </c>
      <c r="CF18" s="295" t="s">
        <v>172</v>
      </c>
      <c r="CG18" s="292" t="s">
        <v>172</v>
      </c>
    </row>
    <row r="19" spans="1:85" ht="12.75" customHeight="1">
      <c r="A19" s="145"/>
      <c r="AE19" s="150">
        <f>IF(AND(1&lt;$AG$1,$AG$1&lt;6),"講　師","")</f>
      </c>
      <c r="AF19" s="88">
        <f>IF(AND(1&lt;$AG$1,$AG$1&lt;6),+C6,"")</f>
      </c>
      <c r="AG19" s="97"/>
      <c r="AH19" s="97">
        <f>IF(AND(1&lt;$AG$1,$AG$1&lt;6,1&lt;$AI$4),HLOOKUP($AI$4-1,$D$20:$R$27,8),IF(AND(1&lt;$AG$1,$AG$1&lt;6,$AI$4=1),HLOOKUP($AI$4+11,$D$20:$R$27,8),""))</f>
      </c>
      <c r="AI19" s="530"/>
      <c r="AJ19" s="531"/>
      <c r="AK19" s="97"/>
      <c r="AL19" s="98"/>
      <c r="AM19" s="100"/>
      <c r="AN19" s="101"/>
      <c r="AO19" s="552">
        <f>IF(AD6="","",IF(((AL20*0.004)-INT(AL20*0.004))=0.5,ROUNDDOWN(AL20*0.004,0),ROUND(AL20*0.004,0)))</f>
      </c>
      <c r="AP19" s="553"/>
      <c r="AQ19" s="102"/>
      <c r="AR19" s="99"/>
      <c r="AS19" s="572"/>
      <c r="AT19" s="169">
        <f>IF(AND(1&lt;$AG$1,$AG$1&lt;6,AH19&gt;0),+S6,"")</f>
      </c>
      <c r="AU19" s="163">
        <f>IF(AND(1&lt;$AG$1,$AG$1&lt;6,AH19&gt;0),"×","")</f>
      </c>
      <c r="AV19" s="172">
        <f>IF(AND(1&lt;$AG$1,$AG$1&lt;6,AH19&gt;0,1&lt;$AI$4),HLOOKUP($AI$4-1,$D$20:$O$27,6),IF(AND(1&lt;$AG$1,$AG$1&lt;6,AH19&gt;0,$AI$4=1),HLOOKUP($AI$4+11,$D$20:$O$27,6),""))</f>
      </c>
      <c r="BP19" s="282" t="s">
        <v>172</v>
      </c>
      <c r="BQ19" s="293" t="s">
        <v>172</v>
      </c>
      <c r="BR19" s="284"/>
      <c r="BS19" s="284" t="s">
        <v>172</v>
      </c>
      <c r="BT19" s="481"/>
      <c r="BU19" s="482"/>
      <c r="BV19" s="284"/>
      <c r="BW19" s="285"/>
      <c r="BX19" s="287"/>
      <c r="BY19" s="288"/>
      <c r="BZ19" s="481"/>
      <c r="CA19" s="482"/>
      <c r="CB19" s="289"/>
      <c r="CC19" s="286"/>
      <c r="CD19" s="521"/>
      <c r="CE19" s="294" t="s">
        <v>172</v>
      </c>
      <c r="CF19" s="295" t="s">
        <v>172</v>
      </c>
      <c r="CG19" s="296" t="s">
        <v>172</v>
      </c>
    </row>
    <row r="20" spans="1:85" ht="12.75" customHeight="1">
      <c r="A20" s="145"/>
      <c r="B20" s="123" t="s">
        <v>156</v>
      </c>
      <c r="C20" s="141" t="s">
        <v>125</v>
      </c>
      <c r="D20" s="141">
        <f aca="true" t="shared" si="3" ref="D20:F27">P20</f>
        <v>1</v>
      </c>
      <c r="E20" s="141">
        <f t="shared" si="3"/>
        <v>2</v>
      </c>
      <c r="F20" s="141">
        <f t="shared" si="3"/>
        <v>3</v>
      </c>
      <c r="G20" s="124">
        <v>4</v>
      </c>
      <c r="H20" s="124">
        <v>5</v>
      </c>
      <c r="I20" s="124">
        <v>6</v>
      </c>
      <c r="J20" s="124">
        <v>7</v>
      </c>
      <c r="K20" s="124">
        <v>8</v>
      </c>
      <c r="L20" s="124">
        <v>9</v>
      </c>
      <c r="M20" s="124">
        <v>10</v>
      </c>
      <c r="N20" s="124">
        <v>11</v>
      </c>
      <c r="O20" s="124">
        <v>12</v>
      </c>
      <c r="P20" s="124">
        <v>1</v>
      </c>
      <c r="Q20" s="124">
        <v>2</v>
      </c>
      <c r="R20" s="124">
        <v>3</v>
      </c>
      <c r="AE20" s="150"/>
      <c r="AF20" s="80"/>
      <c r="AG20" s="103"/>
      <c r="AH20" s="97">
        <f>IF(AND(1&lt;$AG$1,$AG$1&lt;6,1&lt;$AI$4),HLOOKUP($AI$4-1,$D$20:$R$27,4),IF(AND(1&lt;$AG$1,$AG$1&lt;6,$AI$4=1),HLOOKUP($AI$4+11,$D$20:$R$27,4),""))</f>
      </c>
      <c r="AI20" s="530"/>
      <c r="AJ20" s="531"/>
      <c r="AK20" s="103"/>
      <c r="AL20" s="532">
        <f>SUM(AG17:AK20)</f>
        <v>0</v>
      </c>
      <c r="AM20" s="533"/>
      <c r="AN20" s="105">
        <f>IF(AG1&gt;1,IF((AH20-SUM(AO18:AP20))&lt;88000,INT((AH20-SUM(AO18:AP20))*0.03063),VLOOKUP((AH20-SUM(AO18:AP20)),'税額表'!$B$3:$C$118,2,TRUE)),"")</f>
      </c>
      <c r="AO20" s="558"/>
      <c r="AP20" s="559"/>
      <c r="AQ20" s="106">
        <f>SUM(AN17:AP20)</f>
        <v>0</v>
      </c>
      <c r="AR20" s="107">
        <f>IF(AG1&gt;1,+AL20-AQ20,"")</f>
      </c>
      <c r="AS20" s="573"/>
      <c r="AT20" s="169">
        <f>IF(AND(1&lt;$AG$1,$AG$1&lt;6),+H6,"")</f>
      </c>
      <c r="AU20" s="163">
        <f>IF(AND(1&lt;$AG$1,$AG$1&lt;6),"×","")</f>
      </c>
      <c r="AV20" s="173">
        <f>IF(AND(1&lt;$AG$1,$AG$1&lt;6,AH20&gt;0,1&lt;$AI$4),HLOOKUP($AI$4-1,$D$20:$O$27,3),IF(AND(1&lt;$AG$1,$AG$1&lt;6,AH20&gt;0,$AI$4=1),HLOOKUP($AI$4+11,$D$20:$O$27,3),""))</f>
      </c>
      <c r="BP20" s="282"/>
      <c r="BQ20" s="266"/>
      <c r="BR20" s="297"/>
      <c r="BS20" s="284" t="s">
        <v>172</v>
      </c>
      <c r="BT20" s="481"/>
      <c r="BU20" s="482"/>
      <c r="BV20" s="297"/>
      <c r="BW20" s="489" t="s">
        <v>172</v>
      </c>
      <c r="BX20" s="490"/>
      <c r="BY20" s="304" t="s">
        <v>172</v>
      </c>
      <c r="BZ20" s="481"/>
      <c r="CA20" s="482"/>
      <c r="CB20" s="300" t="s">
        <v>172</v>
      </c>
      <c r="CC20" s="301" t="s">
        <v>172</v>
      </c>
      <c r="CD20" s="522"/>
      <c r="CE20" s="294" t="s">
        <v>172</v>
      </c>
      <c r="CF20" s="295" t="s">
        <v>172</v>
      </c>
      <c r="CG20" s="302" t="s">
        <v>172</v>
      </c>
    </row>
    <row r="21" spans="1:85" ht="12.75" customHeight="1">
      <c r="A21" s="145"/>
      <c r="B21" s="125" t="s">
        <v>133</v>
      </c>
      <c r="C21" s="125" t="s">
        <v>132</v>
      </c>
      <c r="D21" s="125" t="str">
        <f t="shared" si="3"/>
        <v>時数</v>
      </c>
      <c r="E21" s="125" t="str">
        <f t="shared" si="3"/>
        <v>時数</v>
      </c>
      <c r="F21" s="125" t="str">
        <f t="shared" si="3"/>
        <v>時数</v>
      </c>
      <c r="G21" s="125" t="s">
        <v>130</v>
      </c>
      <c r="H21" s="125" t="s">
        <v>130</v>
      </c>
      <c r="I21" s="125" t="s">
        <v>130</v>
      </c>
      <c r="J21" s="125" t="s">
        <v>130</v>
      </c>
      <c r="K21" s="125" t="s">
        <v>130</v>
      </c>
      <c r="L21" s="125" t="s">
        <v>130</v>
      </c>
      <c r="M21" s="125" t="s">
        <v>130</v>
      </c>
      <c r="N21" s="125" t="s">
        <v>130</v>
      </c>
      <c r="O21" s="125" t="s">
        <v>130</v>
      </c>
      <c r="P21" s="125" t="s">
        <v>130</v>
      </c>
      <c r="Q21" s="125" t="s">
        <v>130</v>
      </c>
      <c r="R21" s="125" t="s">
        <v>130</v>
      </c>
      <c r="AE21" s="149"/>
      <c r="AF21" s="86"/>
      <c r="AG21" s="91"/>
      <c r="AH21" s="91"/>
      <c r="AI21" s="544"/>
      <c r="AJ21" s="545"/>
      <c r="AK21" s="91"/>
      <c r="AL21" s="92"/>
      <c r="AM21" s="94"/>
      <c r="AN21" s="95"/>
      <c r="AO21" s="552"/>
      <c r="AP21" s="553"/>
      <c r="AQ21" s="96"/>
      <c r="AR21" s="93"/>
      <c r="AS21" s="571"/>
      <c r="AT21" s="159">
        <f>IF(AND(2&lt;$AG$1,$AG$1&lt;6),+T7,"")</f>
      </c>
      <c r="AU21" s="160"/>
      <c r="AV21" s="161"/>
      <c r="BP21" s="271"/>
      <c r="BQ21" s="272"/>
      <c r="BR21" s="273"/>
      <c r="BS21" s="273"/>
      <c r="BT21" s="497"/>
      <c r="BU21" s="498"/>
      <c r="BV21" s="273"/>
      <c r="BW21" s="274"/>
      <c r="BX21" s="276"/>
      <c r="BY21" s="277"/>
      <c r="BZ21" s="497"/>
      <c r="CA21" s="498"/>
      <c r="CB21" s="278"/>
      <c r="CC21" s="275"/>
      <c r="CD21" s="520"/>
      <c r="CE21" s="279" t="s">
        <v>172</v>
      </c>
      <c r="CF21" s="305"/>
      <c r="CG21" s="306"/>
    </row>
    <row r="22" spans="1:85" ht="12.75" customHeight="1">
      <c r="A22" s="145"/>
      <c r="B22" s="126">
        <f>+P6</f>
        <v>385</v>
      </c>
      <c r="C22" s="127">
        <f>SUM(G22:R22)</f>
        <v>16</v>
      </c>
      <c r="D22" s="127">
        <f t="shared" si="3"/>
        <v>0</v>
      </c>
      <c r="E22" s="127">
        <f t="shared" si="3"/>
        <v>0</v>
      </c>
      <c r="F22" s="127">
        <f t="shared" si="3"/>
        <v>0</v>
      </c>
      <c r="G22" s="217">
        <v>7</v>
      </c>
      <c r="H22" s="217">
        <v>9</v>
      </c>
      <c r="I22" s="217"/>
      <c r="J22" s="217"/>
      <c r="K22" s="217"/>
      <c r="L22" s="217"/>
      <c r="M22" s="217"/>
      <c r="N22" s="217"/>
      <c r="O22" s="217"/>
      <c r="P22" s="217"/>
      <c r="Q22" s="217"/>
      <c r="R22" s="217"/>
      <c r="S22" s="599">
        <f>IF(AND((Q6/P6)&gt;0.8,(Q6/P6)&lt;=0.9),"予算残が２０％以下になっています",IF(AND((Q6/P6)&gt;0.9,(Q6/P6)&lt;1),"予算残が１０％以下になっています",IF(Q6&gt;P6,"予算を超えています","")))</f>
      </c>
      <c r="T22" s="600"/>
      <c r="U22" s="600"/>
      <c r="V22" s="600"/>
      <c r="W22" s="600"/>
      <c r="X22" s="600"/>
      <c r="Y22" s="600"/>
      <c r="Z22" s="600"/>
      <c r="AE22" s="150">
        <f>IF(AND(2&lt;$AG$1,$AG$1&lt;6),"非常勤","")</f>
      </c>
      <c r="AF22" s="118"/>
      <c r="AG22" s="97"/>
      <c r="AH22" s="97"/>
      <c r="AI22" s="530"/>
      <c r="AJ22" s="531"/>
      <c r="AK22" s="97"/>
      <c r="AL22" s="98"/>
      <c r="AM22" s="100"/>
      <c r="AN22" s="101"/>
      <c r="AO22" s="554"/>
      <c r="AP22" s="555"/>
      <c r="AQ22" s="102"/>
      <c r="AR22" s="99"/>
      <c r="AS22" s="572"/>
      <c r="AT22" s="168">
        <f>IF(AND(2&lt;$AG$1,$AG$1&lt;6,$AL$1=1),+U7,IF(AND(2&lt;$AG$1,$AG$1&lt;6,$AL$1=2),+X7,IF(AND(2&lt;$AG$1,$AG$1&lt;6,$AL$1=3),+AA7,"")))</f>
      </c>
      <c r="AU22" s="163">
        <f>IF(AND(2&lt;$AG$1,$AG$1&lt;6),"～","")</f>
      </c>
      <c r="AV22" s="171">
        <f>IF(AND(2&lt;$AG$1,$AG$1&lt;6,$AL$1=1),+W7,IF(AND(2&lt;$AG$1,$AG$1&lt;6,$AL$1=2),+Z7,IF(AND(2&lt;$AG$1,$AG$1&lt;6,$AL$1=3),+AC7,"")))</f>
      </c>
      <c r="BP22" s="282" t="s">
        <v>172</v>
      </c>
      <c r="BQ22" s="283"/>
      <c r="BR22" s="284"/>
      <c r="BS22" s="284"/>
      <c r="BT22" s="481"/>
      <c r="BU22" s="482"/>
      <c r="BV22" s="284"/>
      <c r="BW22" s="285"/>
      <c r="BX22" s="287"/>
      <c r="BY22" s="288"/>
      <c r="BZ22" s="481"/>
      <c r="CA22" s="482"/>
      <c r="CB22" s="289"/>
      <c r="CC22" s="286"/>
      <c r="CD22" s="521"/>
      <c r="CE22" s="290" t="s">
        <v>172</v>
      </c>
      <c r="CF22" s="295" t="s">
        <v>172</v>
      </c>
      <c r="CG22" s="292" t="s">
        <v>172</v>
      </c>
    </row>
    <row r="23" spans="1:85" ht="12.75" customHeight="1">
      <c r="A23" s="145"/>
      <c r="B23" s="128">
        <f>+J6</f>
        <v>924000</v>
      </c>
      <c r="C23" s="129">
        <f>SUM(G23:R23)</f>
        <v>38400</v>
      </c>
      <c r="D23" s="129">
        <f t="shared" si="3"/>
        <v>0</v>
      </c>
      <c r="E23" s="129">
        <f t="shared" si="3"/>
        <v>0</v>
      </c>
      <c r="F23" s="129">
        <f t="shared" si="3"/>
        <v>0</v>
      </c>
      <c r="G23" s="128">
        <f aca="true" t="shared" si="4" ref="G23:R23">+$H$6*G22</f>
        <v>16800</v>
      </c>
      <c r="H23" s="128">
        <f t="shared" si="4"/>
        <v>21600</v>
      </c>
      <c r="I23" s="128">
        <f t="shared" si="4"/>
        <v>0</v>
      </c>
      <c r="J23" s="128">
        <f t="shared" si="4"/>
        <v>0</v>
      </c>
      <c r="K23" s="128">
        <f t="shared" si="4"/>
        <v>0</v>
      </c>
      <c r="L23" s="128">
        <f t="shared" si="4"/>
        <v>0</v>
      </c>
      <c r="M23" s="128">
        <f t="shared" si="4"/>
        <v>0</v>
      </c>
      <c r="N23" s="128">
        <f t="shared" si="4"/>
        <v>0</v>
      </c>
      <c r="O23" s="128">
        <f t="shared" si="4"/>
        <v>0</v>
      </c>
      <c r="P23" s="128">
        <f t="shared" si="4"/>
        <v>0</v>
      </c>
      <c r="Q23" s="128">
        <f t="shared" si="4"/>
        <v>0</v>
      </c>
      <c r="R23" s="128">
        <f t="shared" si="4"/>
        <v>0</v>
      </c>
      <c r="S23" s="599"/>
      <c r="T23" s="600"/>
      <c r="U23" s="600"/>
      <c r="V23" s="600"/>
      <c r="W23" s="600"/>
      <c r="X23" s="600"/>
      <c r="Y23" s="600"/>
      <c r="Z23" s="600"/>
      <c r="AE23" s="150">
        <f>IF(AND(2&lt;$AG$1,$AG$1&lt;6),"講　師","")</f>
      </c>
      <c r="AF23" s="88">
        <f>IF(AND(2&lt;$AG$1,$AG$1&lt;6),+C7,"")</f>
      </c>
      <c r="AG23" s="97"/>
      <c r="AH23" s="97">
        <f>IF(AND(2&lt;$AG$1,$AG$1&lt;6,1&lt;$AI$4),HLOOKUP($AI$4-1,$D$29:$R$36,8),IF(AND(2&lt;$AG$1,$AG$1&lt;6,$AI$4=1),HLOOKUP($AI$4+11,$D$29:$R$36,8),""))</f>
      </c>
      <c r="AI23" s="530"/>
      <c r="AJ23" s="531"/>
      <c r="AK23" s="97"/>
      <c r="AL23" s="98"/>
      <c r="AM23" s="100"/>
      <c r="AN23" s="101"/>
      <c r="AO23" s="552">
        <f>IF(AD7="","",IF(((AL24*0.004)-INT(AL24*0.004))=0.5,ROUNDDOWN(AL24*0.004,0),ROUND(AL24*0.004,0)))</f>
      </c>
      <c r="AP23" s="553"/>
      <c r="AQ23" s="102"/>
      <c r="AR23" s="99"/>
      <c r="AS23" s="572"/>
      <c r="AT23" s="169">
        <f>IF(AND(2&lt;$AG$1,$AG$1&lt;6,AH23&gt;0),+S7,"")</f>
      </c>
      <c r="AU23" s="163">
        <f>IF(AND(2&lt;$AG$1,$AG$1&lt;6,AH23&gt;0),"×","")</f>
      </c>
      <c r="AV23" s="172">
        <f>IF(AND(2&lt;$AG$1,$AG$1&lt;6,AH23&gt;0,1&lt;$AI$4),HLOOKUP($AI$4-1,$D$29:$O$36,6),IF(AND(2&lt;$AG$1,$AG$1&lt;6,AH23&gt;0,$AI$4=1),HLOOKUP($AI$4+11,$D$29:$O$36,6),""))</f>
      </c>
      <c r="BP23" s="282" t="s">
        <v>172</v>
      </c>
      <c r="BQ23" s="293" t="s">
        <v>172</v>
      </c>
      <c r="BR23" s="284"/>
      <c r="BS23" s="284" t="s">
        <v>172</v>
      </c>
      <c r="BT23" s="481"/>
      <c r="BU23" s="482"/>
      <c r="BV23" s="284"/>
      <c r="BW23" s="285"/>
      <c r="BX23" s="287"/>
      <c r="BY23" s="288"/>
      <c r="BZ23" s="481"/>
      <c r="CA23" s="482"/>
      <c r="CB23" s="289"/>
      <c r="CC23" s="286"/>
      <c r="CD23" s="521"/>
      <c r="CE23" s="294" t="s">
        <v>172</v>
      </c>
      <c r="CF23" s="295" t="s">
        <v>172</v>
      </c>
      <c r="CG23" s="296" t="s">
        <v>172</v>
      </c>
    </row>
    <row r="24" spans="1:85" ht="12.75" customHeight="1">
      <c r="A24" s="119"/>
      <c r="B24" s="130" t="s">
        <v>134</v>
      </c>
      <c r="C24" s="132" t="s">
        <v>131</v>
      </c>
      <c r="D24" s="132" t="str">
        <f t="shared" si="3"/>
        <v>日数</v>
      </c>
      <c r="E24" s="132" t="str">
        <f t="shared" si="3"/>
        <v>日数</v>
      </c>
      <c r="F24" s="132" t="str">
        <f t="shared" si="3"/>
        <v>日数</v>
      </c>
      <c r="G24" s="125" t="s">
        <v>127</v>
      </c>
      <c r="H24" s="125" t="s">
        <v>127</v>
      </c>
      <c r="I24" s="125" t="s">
        <v>127</v>
      </c>
      <c r="J24" s="125" t="s">
        <v>127</v>
      </c>
      <c r="K24" s="125" t="s">
        <v>127</v>
      </c>
      <c r="L24" s="125" t="s">
        <v>127</v>
      </c>
      <c r="M24" s="125" t="s">
        <v>127</v>
      </c>
      <c r="N24" s="125" t="s">
        <v>127</v>
      </c>
      <c r="O24" s="125" t="s">
        <v>127</v>
      </c>
      <c r="P24" s="125" t="s">
        <v>127</v>
      </c>
      <c r="Q24" s="125" t="s">
        <v>127</v>
      </c>
      <c r="R24" s="125" t="s">
        <v>127</v>
      </c>
      <c r="AE24" s="150"/>
      <c r="AF24" s="80"/>
      <c r="AG24" s="103"/>
      <c r="AH24" s="97">
        <f>IF(AND(2&lt;$AG$1,$AG$1&lt;6,1&lt;$AI$4),HLOOKUP($AI$4-1,$D$29:$R$36,4),IF(AND(2&lt;$AG$1,$AG$1&lt;6,$AI$4=1),HLOOKUP($AI$4+11,$D$29:$R$36,4),""))</f>
      </c>
      <c r="AI24" s="530"/>
      <c r="AJ24" s="531"/>
      <c r="AK24" s="103"/>
      <c r="AL24" s="532">
        <f>SUM(AG21:AK24)</f>
        <v>0</v>
      </c>
      <c r="AM24" s="533"/>
      <c r="AN24" s="105">
        <f>IF(AG1&gt;2,IF((AH24-SUM(AO22:AP24))&lt;88000,INT((AH24-SUM(AO22:AP24))*0.03063),VLOOKUP((AH24-SUM(AO22:AP24)),'税額表'!$B$3:$C$118,2,TRUE)),"")</f>
      </c>
      <c r="AO24" s="552"/>
      <c r="AP24" s="553"/>
      <c r="AQ24" s="106">
        <f>SUM(AN21:AP24)</f>
        <v>0</v>
      </c>
      <c r="AR24" s="107">
        <f>IF(AG1&gt;2,+AL24-AQ24,"")</f>
      </c>
      <c r="AS24" s="573"/>
      <c r="AT24" s="169">
        <f>IF(AND(2&lt;$AG$1,$AG$1&lt;6),+H7,"")</f>
      </c>
      <c r="AU24" s="163">
        <f>IF(AND(2&lt;$AG$1,$AG$1&lt;6),"×","")</f>
      </c>
      <c r="AV24" s="173">
        <f>IF(AND(2&lt;$AG$1,$AG$1&lt;6,AH24&gt;0,1&lt;$AI$4),HLOOKUP($AI$4-1,$D$29:$O$36,3),IF(AND(2&lt;$AG$1,$AG$1&lt;6,AH24&gt;0,$AI$4=1),HLOOKUP($AI$4+11,$D$29:$O$36,3),""))</f>
      </c>
      <c r="BP24" s="282"/>
      <c r="BQ24" s="266"/>
      <c r="BR24" s="297"/>
      <c r="BS24" s="284" t="s">
        <v>172</v>
      </c>
      <c r="BT24" s="481"/>
      <c r="BU24" s="482"/>
      <c r="BV24" s="297"/>
      <c r="BW24" s="489" t="s">
        <v>172</v>
      </c>
      <c r="BX24" s="490"/>
      <c r="BY24" s="304" t="s">
        <v>172</v>
      </c>
      <c r="BZ24" s="481"/>
      <c r="CA24" s="482"/>
      <c r="CB24" s="300" t="s">
        <v>172</v>
      </c>
      <c r="CC24" s="301" t="s">
        <v>172</v>
      </c>
      <c r="CD24" s="522"/>
      <c r="CE24" s="294" t="s">
        <v>172</v>
      </c>
      <c r="CF24" s="295" t="s">
        <v>172</v>
      </c>
      <c r="CG24" s="302" t="s">
        <v>172</v>
      </c>
    </row>
    <row r="25" spans="1:85" ht="12.75" customHeight="1">
      <c r="A25" s="115"/>
      <c r="B25" s="131"/>
      <c r="C25" s="133">
        <f>SUM(G25:R25)</f>
        <v>7</v>
      </c>
      <c r="D25" s="133">
        <f t="shared" si="3"/>
        <v>0</v>
      </c>
      <c r="E25" s="133">
        <f t="shared" si="3"/>
        <v>0</v>
      </c>
      <c r="F25" s="133">
        <f t="shared" si="3"/>
        <v>0</v>
      </c>
      <c r="G25" s="217">
        <v>3</v>
      </c>
      <c r="H25" s="217">
        <v>4</v>
      </c>
      <c r="I25" s="217"/>
      <c r="J25" s="217"/>
      <c r="K25" s="217"/>
      <c r="L25" s="217"/>
      <c r="M25" s="217"/>
      <c r="N25" s="217"/>
      <c r="O25" s="217"/>
      <c r="P25" s="217"/>
      <c r="Q25" s="217"/>
      <c r="R25" s="217"/>
      <c r="AE25" s="149"/>
      <c r="AF25" s="86"/>
      <c r="AG25" s="91"/>
      <c r="AH25" s="91"/>
      <c r="AI25" s="544"/>
      <c r="AJ25" s="545"/>
      <c r="AK25" s="91"/>
      <c r="AL25" s="92"/>
      <c r="AM25" s="94"/>
      <c r="AN25" s="95"/>
      <c r="AO25" s="556"/>
      <c r="AP25" s="557"/>
      <c r="AQ25" s="96"/>
      <c r="AR25" s="93"/>
      <c r="AS25" s="571"/>
      <c r="AT25" s="159">
        <f>IF(AND(3&lt;$AG$1,$AG$1&lt;6),+T8,"")</f>
      </c>
      <c r="AU25" s="160"/>
      <c r="AV25" s="161"/>
      <c r="BP25" s="271"/>
      <c r="BQ25" s="272"/>
      <c r="BR25" s="273"/>
      <c r="BS25" s="273"/>
      <c r="BT25" s="497"/>
      <c r="BU25" s="498"/>
      <c r="BV25" s="273"/>
      <c r="BW25" s="274"/>
      <c r="BX25" s="276"/>
      <c r="BY25" s="277"/>
      <c r="BZ25" s="497"/>
      <c r="CA25" s="498"/>
      <c r="CB25" s="278"/>
      <c r="CC25" s="275"/>
      <c r="CD25" s="307"/>
      <c r="CE25" s="279" t="s">
        <v>172</v>
      </c>
      <c r="CF25" s="280"/>
      <c r="CG25" s="303"/>
    </row>
    <row r="26" spans="1:85" ht="12.75" customHeight="1">
      <c r="A26" s="146"/>
      <c r="B26" s="127"/>
      <c r="C26" s="176" t="s">
        <v>150</v>
      </c>
      <c r="D26" s="176">
        <f t="shared" si="3"/>
        <v>0</v>
      </c>
      <c r="E26" s="176">
        <f t="shared" si="3"/>
        <v>0</v>
      </c>
      <c r="F26" s="176">
        <f t="shared" si="3"/>
        <v>0</v>
      </c>
      <c r="G26" s="218"/>
      <c r="H26" s="218">
        <v>1</v>
      </c>
      <c r="I26" s="218"/>
      <c r="J26" s="218"/>
      <c r="K26" s="218"/>
      <c r="L26" s="218"/>
      <c r="M26" s="218"/>
      <c r="N26" s="218"/>
      <c r="O26" s="218"/>
      <c r="P26" s="218"/>
      <c r="Q26" s="218"/>
      <c r="R26" s="218"/>
      <c r="S26" s="58" t="s">
        <v>154</v>
      </c>
      <c r="T26" s="202"/>
      <c r="U26" s="203"/>
      <c r="V26" s="202"/>
      <c r="W26" s="203"/>
      <c r="X26" s="203"/>
      <c r="AE26" s="150">
        <f>IF(AND(3&lt;$AG$1,$AG$1&lt;6),"非常勤","")</f>
      </c>
      <c r="AF26" s="117"/>
      <c r="AG26" s="97"/>
      <c r="AH26" s="97"/>
      <c r="AI26" s="530"/>
      <c r="AJ26" s="531"/>
      <c r="AK26" s="97"/>
      <c r="AL26" s="98"/>
      <c r="AM26" s="100"/>
      <c r="AN26" s="101"/>
      <c r="AO26" s="554"/>
      <c r="AP26" s="555"/>
      <c r="AQ26" s="102"/>
      <c r="AR26" s="99"/>
      <c r="AS26" s="572"/>
      <c r="AT26" s="168">
        <f>IF(AND(3&lt;$AG$1,$AG$1&lt;6,$AL$1=1),+U8,IF(AND(3&lt;$AG$1,$AG$1&lt;6,$AL$1=2),+X8,IF(AND(3&lt;$AG$1,$AG$1&lt;6,$AL$1=3),+AA8,"")))</f>
      </c>
      <c r="AU26" s="163">
        <f>IF(AND(3&lt;$AG$1,$AG$1&lt;6),"～","")</f>
      </c>
      <c r="AV26" s="171">
        <f>IF(AND(3&lt;$AG$1,$AG$1&lt;6,$AL$1=1),+W8,IF(AND(3&lt;$AG$1,$AG$1&lt;6,$AL$1=2),+Z8,IF(AND(3&lt;$AG$1,$AG$1&lt;6,$AL$1=3),+AC8,"")))</f>
      </c>
      <c r="BP26" s="282" t="s">
        <v>172</v>
      </c>
      <c r="BQ26" s="308"/>
      <c r="BR26" s="284"/>
      <c r="BS26" s="284"/>
      <c r="BT26" s="481"/>
      <c r="BU26" s="482"/>
      <c r="BV26" s="284"/>
      <c r="BW26" s="285"/>
      <c r="BX26" s="287"/>
      <c r="BY26" s="288"/>
      <c r="BZ26" s="481"/>
      <c r="CA26" s="482"/>
      <c r="CB26" s="289"/>
      <c r="CC26" s="286"/>
      <c r="CD26" s="259"/>
      <c r="CE26" s="290" t="s">
        <v>172</v>
      </c>
      <c r="CF26" s="295" t="s">
        <v>172</v>
      </c>
      <c r="CG26" s="292" t="s">
        <v>172</v>
      </c>
    </row>
    <row r="27" spans="2:85" ht="12.75" customHeight="1">
      <c r="B27" s="128"/>
      <c r="C27" s="134">
        <f>SUM(G27:R27)</f>
        <v>1248</v>
      </c>
      <c r="D27" s="134">
        <f t="shared" si="3"/>
        <v>0</v>
      </c>
      <c r="E27" s="134">
        <f t="shared" si="3"/>
        <v>0</v>
      </c>
      <c r="F27" s="134">
        <f t="shared" si="3"/>
        <v>0</v>
      </c>
      <c r="G27" s="128">
        <f aca="true" t="shared" si="5" ref="G27:R27">IF(G26=1,+$S$6*G25,0)</f>
        <v>0</v>
      </c>
      <c r="H27" s="128">
        <f t="shared" si="5"/>
        <v>1248</v>
      </c>
      <c r="I27" s="128">
        <f t="shared" si="5"/>
        <v>0</v>
      </c>
      <c r="J27" s="128">
        <f t="shared" si="5"/>
        <v>0</v>
      </c>
      <c r="K27" s="128">
        <f t="shared" si="5"/>
        <v>0</v>
      </c>
      <c r="L27" s="128">
        <f t="shared" si="5"/>
        <v>0</v>
      </c>
      <c r="M27" s="128">
        <f t="shared" si="5"/>
        <v>0</v>
      </c>
      <c r="N27" s="128">
        <f t="shared" si="5"/>
        <v>0</v>
      </c>
      <c r="O27" s="128">
        <f t="shared" si="5"/>
        <v>0</v>
      </c>
      <c r="P27" s="128">
        <f t="shared" si="5"/>
        <v>0</v>
      </c>
      <c r="Q27" s="128">
        <f t="shared" si="5"/>
        <v>0</v>
      </c>
      <c r="R27" s="128">
        <f t="shared" si="5"/>
        <v>0</v>
      </c>
      <c r="AE27" s="150">
        <f>IF(AND(3&lt;$AG$1,$AG$1&lt;6),"講　師","")</f>
      </c>
      <c r="AF27" s="88">
        <f>IF(AND(3&lt;$AG$1,$AG$1&lt;6),+C8,"")</f>
      </c>
      <c r="AG27" s="97"/>
      <c r="AH27" s="97">
        <f>IF(AND(3&lt;$AG$1,$AG$1&lt;6,1&lt;$AI$4),HLOOKUP($AI$4-1,$D$38:$R$45,8),IF(AND(3&lt;$AG$1,$AG$1&lt;6,$AI$4=1),HLOOKUP($AI$4+11,$D$38:$R$45,8),""))</f>
      </c>
      <c r="AI27" s="530"/>
      <c r="AJ27" s="531"/>
      <c r="AK27" s="97"/>
      <c r="AL27" s="98"/>
      <c r="AM27" s="100"/>
      <c r="AN27" s="101"/>
      <c r="AO27" s="552">
        <f>IF(AD8="","",IF(((AL28*0.004)-INT(AL28*0.004))=0.5,ROUNDDOWN(AL28*0.004,0),ROUND(AL28*0.004,0)))</f>
      </c>
      <c r="AP27" s="553"/>
      <c r="AQ27" s="102"/>
      <c r="AR27" s="99"/>
      <c r="AS27" s="572"/>
      <c r="AT27" s="169">
        <f>IF(AND(3&lt;$AG$1,$AG$1&lt;6,AH27&gt;0),+S8,"")</f>
      </c>
      <c r="AU27" s="163">
        <f>IF(AND(3&lt;$AG$1,$AG$1&lt;6,AH27&gt;0),"×","")</f>
      </c>
      <c r="AV27" s="172">
        <f>IF(AND(3&lt;$AG$1,$AG$1&lt;6,AH27&gt;0,1&lt;$AI$4),HLOOKUP($AI$4-1,$D$38:$O$45,6),IF(AND(3&lt;$AG$1,$AG$1&lt;6,AH27&gt;0,$AI$4=1),HLOOKUP($AI$4+11,$D$38:$O$45,6),""))</f>
      </c>
      <c r="BP27" s="282" t="s">
        <v>172</v>
      </c>
      <c r="BQ27" s="293" t="s">
        <v>172</v>
      </c>
      <c r="BR27" s="284"/>
      <c r="BS27" s="284" t="s">
        <v>172</v>
      </c>
      <c r="BT27" s="481"/>
      <c r="BU27" s="482"/>
      <c r="BV27" s="284"/>
      <c r="BW27" s="285"/>
      <c r="BX27" s="287"/>
      <c r="BY27" s="288"/>
      <c r="BZ27" s="481"/>
      <c r="CA27" s="482"/>
      <c r="CB27" s="289"/>
      <c r="CC27" s="286"/>
      <c r="CD27" s="259"/>
      <c r="CE27" s="294" t="s">
        <v>172</v>
      </c>
      <c r="CF27" s="295" t="s">
        <v>172</v>
      </c>
      <c r="CG27" s="296" t="s">
        <v>172</v>
      </c>
    </row>
    <row r="28" spans="31:85" ht="12.75" customHeight="1">
      <c r="AE28" s="150"/>
      <c r="AF28" s="80"/>
      <c r="AG28" s="103"/>
      <c r="AH28" s="97">
        <f>IF(AND(3&lt;$AG$1,$AG$1&lt;6,1&lt;$AI$4),HLOOKUP($AI$4-1,$D$38:$R$45,4),IF(AND(3&lt;$AG$1,$AG$1&lt;6,$AI$4=1),HLOOKUP($AI$4+11,$D$38:$R$45,4),""))</f>
      </c>
      <c r="AI28" s="530"/>
      <c r="AJ28" s="531"/>
      <c r="AK28" s="103"/>
      <c r="AL28" s="532">
        <f>SUM(AG25:AK28)</f>
        <v>0</v>
      </c>
      <c r="AM28" s="533"/>
      <c r="AN28" s="105">
        <f>IF(AG1&gt;3,IF((AH28-SUM(AO26:AP28))&lt;88000,INT((AH28-SUM(AO26:AP28))*0.03063),VLOOKUP((AH28-SUM(AO26:AP28)),'税額表'!$B$3:$C$118,2,TRUE)),"")</f>
      </c>
      <c r="AO28" s="558"/>
      <c r="AP28" s="559"/>
      <c r="AQ28" s="106">
        <f>SUM(AN25:AP28)</f>
        <v>0</v>
      </c>
      <c r="AR28" s="107">
        <f>IF(AG1&gt;3,+AL28-AQ28,"")</f>
      </c>
      <c r="AS28" s="573"/>
      <c r="AT28" s="169">
        <f>IF(AND(3&lt;$AG$1,$AG$1&lt;6),+H8,"")</f>
      </c>
      <c r="AU28" s="163">
        <f>IF(AND(3&lt;$AG$1,$AG$1&lt;6),"×","")</f>
      </c>
      <c r="AV28" s="173">
        <f>IF(AND(3&lt;$AG$1,$AG$1&lt;6,AH28&gt;0,1&lt;$AI$4),HLOOKUP($AI$4-1,$D$38:$O$45,3),IF(AND(3&lt;$AG$1,$AG$1&lt;6,AH28&gt;0,$AI$4=1),HLOOKUP($AI$4+11,$D$38:$O$45,3),""))</f>
      </c>
      <c r="BP28" s="282"/>
      <c r="BQ28" s="266"/>
      <c r="BR28" s="297"/>
      <c r="BS28" s="284" t="s">
        <v>172</v>
      </c>
      <c r="BT28" s="481"/>
      <c r="BU28" s="482"/>
      <c r="BV28" s="297"/>
      <c r="BW28" s="489" t="s">
        <v>172</v>
      </c>
      <c r="BX28" s="490"/>
      <c r="BY28" s="304" t="s">
        <v>172</v>
      </c>
      <c r="BZ28" s="481"/>
      <c r="CA28" s="482"/>
      <c r="CB28" s="300" t="s">
        <v>172</v>
      </c>
      <c r="CC28" s="301" t="s">
        <v>172</v>
      </c>
      <c r="CD28" s="260"/>
      <c r="CE28" s="309" t="s">
        <v>172</v>
      </c>
      <c r="CF28" s="310" t="s">
        <v>172</v>
      </c>
      <c r="CG28" s="311" t="s">
        <v>172</v>
      </c>
    </row>
    <row r="29" spans="2:85" ht="12.75" customHeight="1">
      <c r="B29" s="123" t="s">
        <v>157</v>
      </c>
      <c r="C29" s="141" t="s">
        <v>125</v>
      </c>
      <c r="D29" s="141">
        <f aca="true" t="shared" si="6" ref="D29:F36">P29</f>
        <v>1</v>
      </c>
      <c r="E29" s="141">
        <f t="shared" si="6"/>
        <v>2</v>
      </c>
      <c r="F29" s="141">
        <f t="shared" si="6"/>
        <v>3</v>
      </c>
      <c r="G29" s="124">
        <v>4</v>
      </c>
      <c r="H29" s="124">
        <v>5</v>
      </c>
      <c r="I29" s="124">
        <v>6</v>
      </c>
      <c r="J29" s="124">
        <v>7</v>
      </c>
      <c r="K29" s="124">
        <v>8</v>
      </c>
      <c r="L29" s="124">
        <v>9</v>
      </c>
      <c r="M29" s="124">
        <v>10</v>
      </c>
      <c r="N29" s="124">
        <v>11</v>
      </c>
      <c r="O29" s="124">
        <v>12</v>
      </c>
      <c r="P29" s="124">
        <v>1</v>
      </c>
      <c r="Q29" s="124">
        <v>2</v>
      </c>
      <c r="R29" s="124">
        <v>3</v>
      </c>
      <c r="AE29" s="149"/>
      <c r="AF29" s="86"/>
      <c r="AG29" s="91"/>
      <c r="AH29" s="91"/>
      <c r="AI29" s="544"/>
      <c r="AJ29" s="545"/>
      <c r="AK29" s="91"/>
      <c r="AL29" s="92"/>
      <c r="AM29" s="94"/>
      <c r="AN29" s="95"/>
      <c r="AO29" s="552"/>
      <c r="AP29" s="553"/>
      <c r="AQ29" s="96"/>
      <c r="AR29" s="93"/>
      <c r="AS29" s="571"/>
      <c r="AT29" s="159">
        <f>IF(AND(4&lt;$AG$1,$AG$1&lt;6),+T9,"")</f>
      </c>
      <c r="AU29" s="160"/>
      <c r="AV29" s="161"/>
      <c r="BP29" s="271"/>
      <c r="BQ29" s="272"/>
      <c r="BR29" s="273"/>
      <c r="BS29" s="273"/>
      <c r="BT29" s="497"/>
      <c r="BU29" s="498"/>
      <c r="BV29" s="273"/>
      <c r="BW29" s="274"/>
      <c r="BX29" s="276"/>
      <c r="BY29" s="277"/>
      <c r="BZ29" s="497"/>
      <c r="CA29" s="498"/>
      <c r="CB29" s="278"/>
      <c r="CC29" s="275"/>
      <c r="CD29" s="307"/>
      <c r="CE29" s="279" t="s">
        <v>172</v>
      </c>
      <c r="CF29" s="280"/>
      <c r="CG29" s="303"/>
    </row>
    <row r="30" spans="2:85" ht="12.75" customHeight="1">
      <c r="B30" s="125" t="s">
        <v>133</v>
      </c>
      <c r="C30" s="125" t="s">
        <v>132</v>
      </c>
      <c r="D30" s="125" t="str">
        <f t="shared" si="6"/>
        <v>時数</v>
      </c>
      <c r="E30" s="125" t="str">
        <f t="shared" si="6"/>
        <v>時数</v>
      </c>
      <c r="F30" s="125" t="str">
        <f t="shared" si="6"/>
        <v>時数</v>
      </c>
      <c r="G30" s="125" t="s">
        <v>130</v>
      </c>
      <c r="H30" s="125" t="s">
        <v>130</v>
      </c>
      <c r="I30" s="125" t="s">
        <v>130</v>
      </c>
      <c r="J30" s="125" t="s">
        <v>130</v>
      </c>
      <c r="K30" s="125" t="s">
        <v>130</v>
      </c>
      <c r="L30" s="125" t="s">
        <v>130</v>
      </c>
      <c r="M30" s="125" t="s">
        <v>130</v>
      </c>
      <c r="N30" s="125" t="s">
        <v>130</v>
      </c>
      <c r="O30" s="125" t="s">
        <v>130</v>
      </c>
      <c r="P30" s="125" t="s">
        <v>130</v>
      </c>
      <c r="Q30" s="125" t="s">
        <v>130</v>
      </c>
      <c r="R30" s="125" t="s">
        <v>130</v>
      </c>
      <c r="AE30" s="150">
        <f>IF(AND(4&lt;$AG$1,$AG$1&lt;6),"非常勤","")</f>
      </c>
      <c r="AF30" s="117"/>
      <c r="AG30" s="97"/>
      <c r="AH30" s="97"/>
      <c r="AI30" s="530"/>
      <c r="AJ30" s="531"/>
      <c r="AK30" s="97"/>
      <c r="AL30" s="98"/>
      <c r="AM30" s="100"/>
      <c r="AN30" s="101"/>
      <c r="AO30" s="554"/>
      <c r="AP30" s="555"/>
      <c r="AQ30" s="102"/>
      <c r="AR30" s="99"/>
      <c r="AS30" s="572"/>
      <c r="AT30" s="168">
        <f>IF(AND(4&lt;$AG$1,$AG$1&lt;6,$AL$1=1),+U9,IF(AND(4&lt;$AG$1,$AG$1&lt;6,$AL$1=2),+X9,IF(AND(4&lt;$AG$1,$AG$1&lt;6,$AL$1=3),+AA9,"")))</f>
      </c>
      <c r="AU30" s="163">
        <f>IF(AND(4&lt;$AG$1,$AG$1&lt;6),"～","")</f>
      </c>
      <c r="AV30" s="171">
        <f>IF(AND(4&lt;$AG$1,$AG$1&lt;6,$AL$1=1),+W9,IF(AND(4&lt;$AG$1,$AG$1&lt;6,$AL$1=2),+Z9,IF(AND(4&lt;$AG$1,$AG$1&lt;6,$AL$1=3),+AC9,"")))</f>
      </c>
      <c r="BP30" s="282" t="s">
        <v>172</v>
      </c>
      <c r="BQ30" s="308"/>
      <c r="BR30" s="284"/>
      <c r="BS30" s="284"/>
      <c r="BT30" s="481"/>
      <c r="BU30" s="482"/>
      <c r="BV30" s="284"/>
      <c r="BW30" s="285"/>
      <c r="BX30" s="287"/>
      <c r="BY30" s="288"/>
      <c r="BZ30" s="481"/>
      <c r="CA30" s="482"/>
      <c r="CB30" s="289"/>
      <c r="CC30" s="286"/>
      <c r="CD30" s="259"/>
      <c r="CE30" s="290" t="s">
        <v>172</v>
      </c>
      <c r="CF30" s="295" t="s">
        <v>172</v>
      </c>
      <c r="CG30" s="292" t="s">
        <v>172</v>
      </c>
    </row>
    <row r="31" spans="2:85" ht="12.75" customHeight="1">
      <c r="B31" s="126">
        <f>+P7</f>
        <v>0</v>
      </c>
      <c r="C31" s="127">
        <f>SUM(G31:R31)</f>
        <v>0</v>
      </c>
      <c r="D31" s="127">
        <f t="shared" si="6"/>
        <v>0</v>
      </c>
      <c r="E31" s="127">
        <f t="shared" si="6"/>
        <v>0</v>
      </c>
      <c r="F31" s="127">
        <f t="shared" si="6"/>
        <v>0</v>
      </c>
      <c r="G31" s="217"/>
      <c r="H31" s="217"/>
      <c r="I31" s="217"/>
      <c r="J31" s="217"/>
      <c r="K31" s="217"/>
      <c r="L31" s="217"/>
      <c r="M31" s="217"/>
      <c r="N31" s="217"/>
      <c r="O31" s="217"/>
      <c r="P31" s="217"/>
      <c r="Q31" s="217"/>
      <c r="R31" s="217"/>
      <c r="S31" s="599" t="e">
        <f>IF(AND((Q7/P7)&gt;0.8,(Q7/P7)&lt;=0.9),"予算残が２０％以下になっています",IF(AND((Q7/P7)&gt;0.9,(Q7/P7)&lt;1),"予算残が１０％以下になっています",IF(Q7&gt;P7,"予算を超えています","")))</f>
        <v>#DIV/0!</v>
      </c>
      <c r="T31" s="600"/>
      <c r="U31" s="600"/>
      <c r="V31" s="600"/>
      <c r="W31" s="600"/>
      <c r="X31" s="600"/>
      <c r="Y31" s="600"/>
      <c r="Z31" s="600"/>
      <c r="AE31" s="150">
        <f>IF(AND(4&lt;$AG$1,$AG$1&lt;6),"講　師","")</f>
      </c>
      <c r="AF31" s="88">
        <f>IF(AND(4&lt;$AG$1,$AG$1&lt;6),+C9,"")</f>
      </c>
      <c r="AG31" s="97"/>
      <c r="AH31" s="97">
        <f>IF(AND(4&lt;$AG$1,$AG$1&lt;6,1&lt;$AI$4),HLOOKUP($AI$4-1,$D$47:$R$54,8),IF(AND(4&lt;$AG$1,$AG$1&lt;6,$AI$4=1),HLOOKUP($AI$4+11,$D$47:$R$54,8),""))</f>
      </c>
      <c r="AI31" s="530"/>
      <c r="AJ31" s="531"/>
      <c r="AK31" s="97"/>
      <c r="AL31" s="98"/>
      <c r="AM31" s="100"/>
      <c r="AN31" s="101"/>
      <c r="AO31" s="552">
        <f>IF(AD9="","",IF(((AL32*0.004)-INT(AL32*0.004))=0.5,ROUNDDOWN(AL32*0.004,0),ROUND(AL32*0.004,0)))</f>
      </c>
      <c r="AP31" s="553"/>
      <c r="AQ31" s="102"/>
      <c r="AR31" s="99"/>
      <c r="AS31" s="572"/>
      <c r="AT31" s="169">
        <f>IF(AND(4&lt;$AG$1,$AG$1&lt;6,AH31&gt;0),+S9,"")</f>
      </c>
      <c r="AU31" s="163">
        <f>IF(AND(4&lt;$AG$1,$AG$1&lt;6,AH31&gt;0),"×","")</f>
      </c>
      <c r="AV31" s="172">
        <f>IF(AND(4&lt;$AG$1,$AG$1&lt;6,AH31&gt;0,1&lt;$AI$4),HLOOKUP($AI$4-1,$D$38:$O$45,6),IF(AND(4&lt;$AG$1,$AG$1&lt;6,AH31&gt;0,$AI$4=1),HLOOKUP($AI$4+11,$D$38:$O$45,6),""))</f>
      </c>
      <c r="BP31" s="282" t="s">
        <v>172</v>
      </c>
      <c r="BQ31" s="293" t="s">
        <v>172</v>
      </c>
      <c r="BR31" s="284"/>
      <c r="BS31" s="284" t="s">
        <v>172</v>
      </c>
      <c r="BT31" s="481"/>
      <c r="BU31" s="482"/>
      <c r="BV31" s="284"/>
      <c r="BW31" s="285"/>
      <c r="BX31" s="287"/>
      <c r="BY31" s="288"/>
      <c r="BZ31" s="481"/>
      <c r="CA31" s="482"/>
      <c r="CB31" s="289"/>
      <c r="CC31" s="286"/>
      <c r="CD31" s="259"/>
      <c r="CE31" s="294" t="s">
        <v>172</v>
      </c>
      <c r="CF31" s="295" t="s">
        <v>172</v>
      </c>
      <c r="CG31" s="296" t="s">
        <v>172</v>
      </c>
    </row>
    <row r="32" spans="2:85" ht="12.75" customHeight="1">
      <c r="B32" s="128">
        <f>+J7</f>
        <v>0</v>
      </c>
      <c r="C32" s="129">
        <f>SUM(G32:R32)</f>
        <v>0</v>
      </c>
      <c r="D32" s="129">
        <f t="shared" si="6"/>
        <v>0</v>
      </c>
      <c r="E32" s="129">
        <f t="shared" si="6"/>
        <v>0</v>
      </c>
      <c r="F32" s="129">
        <f t="shared" si="6"/>
        <v>0</v>
      </c>
      <c r="G32" s="128">
        <f aca="true" t="shared" si="7" ref="G32:R32">+$H$7*G31</f>
        <v>0</v>
      </c>
      <c r="H32" s="128">
        <f t="shared" si="7"/>
        <v>0</v>
      </c>
      <c r="I32" s="128">
        <f t="shared" si="7"/>
        <v>0</v>
      </c>
      <c r="J32" s="128">
        <f t="shared" si="7"/>
        <v>0</v>
      </c>
      <c r="K32" s="128">
        <f t="shared" si="7"/>
        <v>0</v>
      </c>
      <c r="L32" s="128">
        <f t="shared" si="7"/>
        <v>0</v>
      </c>
      <c r="M32" s="128">
        <f t="shared" si="7"/>
        <v>0</v>
      </c>
      <c r="N32" s="128">
        <f t="shared" si="7"/>
        <v>0</v>
      </c>
      <c r="O32" s="128">
        <f t="shared" si="7"/>
        <v>0</v>
      </c>
      <c r="P32" s="128">
        <f t="shared" si="7"/>
        <v>0</v>
      </c>
      <c r="Q32" s="128">
        <f t="shared" si="7"/>
        <v>0</v>
      </c>
      <c r="R32" s="128">
        <f t="shared" si="7"/>
        <v>0</v>
      </c>
      <c r="S32" s="599"/>
      <c r="T32" s="600"/>
      <c r="U32" s="600"/>
      <c r="V32" s="600"/>
      <c r="W32" s="600"/>
      <c r="X32" s="600"/>
      <c r="Y32" s="600"/>
      <c r="Z32" s="600"/>
      <c r="AE32" s="151"/>
      <c r="AF32" s="80"/>
      <c r="AG32" s="103"/>
      <c r="AH32" s="103">
        <f>IF(AND(4&lt;$AG$1,$AG$1&lt;6,1&lt;$AI$4),HLOOKUP($AI$4-1,$D$47:$R$54,4),IF(AND(4&lt;$AG$1,$AG$1&lt;6,$AI$4=1),HLOOKUP($AI$4+11,$D$47:$R$54,4),""))</f>
      </c>
      <c r="AI32" s="530"/>
      <c r="AJ32" s="531"/>
      <c r="AK32" s="103"/>
      <c r="AL32" s="532">
        <f>SUM(AG29:AK32)</f>
        <v>0</v>
      </c>
      <c r="AM32" s="533"/>
      <c r="AN32" s="105">
        <f>IF(AG1&gt;4,IF((AH32-SUM(AO30:AP32))&lt;88000,INT((AH32-SUM(AO30:AP32))*0.03063),VLOOKUP((AH32-SUM(AO30:AP32)),'税額表'!$B$3:$C$118,2,TRUE)),"")</f>
      </c>
      <c r="AO32" s="552"/>
      <c r="AP32" s="553"/>
      <c r="AQ32" s="106">
        <f>SUM(AN29:AP32)</f>
        <v>0</v>
      </c>
      <c r="AR32" s="107">
        <f>IF(AG1&gt;4,+AL32-AQ32,"")</f>
      </c>
      <c r="AS32" s="573"/>
      <c r="AT32" s="170">
        <f>IF(AND(4&lt;$AG$1,$AG$1&lt;6),+H9,"")</f>
      </c>
      <c r="AU32" s="164">
        <f>IF(AND(4&lt;$AG$1,$AG$1&lt;6),"×","")</f>
      </c>
      <c r="AV32" s="174">
        <f>IF(AND(4&lt;$AG$1,$AG$1&lt;6,AH32&gt;0,1&lt;$AI$4),HLOOKUP($AI$4-1,$D$47:$O$54,3),IF(AND(4&lt;$AG$1,$AG$1&lt;6,AH32&gt;0,$AI$4=1),HLOOKUP($AI$4+11,$D$47:$O$54,3),""))</f>
      </c>
      <c r="BP32" s="312"/>
      <c r="BQ32" s="266"/>
      <c r="BR32" s="297"/>
      <c r="BS32" s="297" t="s">
        <v>172</v>
      </c>
      <c r="BT32" s="481"/>
      <c r="BU32" s="482"/>
      <c r="BV32" s="297"/>
      <c r="BW32" s="489" t="s">
        <v>172</v>
      </c>
      <c r="BX32" s="490"/>
      <c r="BY32" s="304" t="s">
        <v>172</v>
      </c>
      <c r="BZ32" s="481"/>
      <c r="CA32" s="482"/>
      <c r="CB32" s="300" t="s">
        <v>172</v>
      </c>
      <c r="CC32" s="301" t="s">
        <v>172</v>
      </c>
      <c r="CD32" s="260"/>
      <c r="CE32" s="309" t="s">
        <v>172</v>
      </c>
      <c r="CF32" s="310" t="s">
        <v>172</v>
      </c>
      <c r="CG32" s="311" t="s">
        <v>172</v>
      </c>
    </row>
    <row r="33" spans="2:85" ht="12.75" customHeight="1">
      <c r="B33" s="130" t="s">
        <v>134</v>
      </c>
      <c r="C33" s="132" t="s">
        <v>131</v>
      </c>
      <c r="D33" s="132" t="str">
        <f t="shared" si="6"/>
        <v>日数</v>
      </c>
      <c r="E33" s="132" t="str">
        <f t="shared" si="6"/>
        <v>日数</v>
      </c>
      <c r="F33" s="132" t="str">
        <f t="shared" si="6"/>
        <v>日数</v>
      </c>
      <c r="G33" s="125" t="s">
        <v>127</v>
      </c>
      <c r="H33" s="125" t="s">
        <v>127</v>
      </c>
      <c r="I33" s="125" t="s">
        <v>127</v>
      </c>
      <c r="J33" s="125" t="s">
        <v>127</v>
      </c>
      <c r="K33" s="125" t="s">
        <v>127</v>
      </c>
      <c r="L33" s="125" t="s">
        <v>127</v>
      </c>
      <c r="M33" s="125" t="s">
        <v>127</v>
      </c>
      <c r="N33" s="125" t="s">
        <v>127</v>
      </c>
      <c r="O33" s="125" t="s">
        <v>127</v>
      </c>
      <c r="P33" s="125" t="s">
        <v>127</v>
      </c>
      <c r="Q33" s="125" t="s">
        <v>127</v>
      </c>
      <c r="R33" s="125" t="s">
        <v>127</v>
      </c>
      <c r="AE33" s="150"/>
      <c r="AF33" s="88"/>
      <c r="AG33" s="97"/>
      <c r="AH33" s="97"/>
      <c r="AI33" s="544"/>
      <c r="AJ33" s="545"/>
      <c r="AK33" s="97"/>
      <c r="AL33" s="98"/>
      <c r="AM33" s="100"/>
      <c r="AN33" s="101"/>
      <c r="AO33" s="544"/>
      <c r="AP33" s="545"/>
      <c r="AQ33" s="102"/>
      <c r="AR33" s="99"/>
      <c r="AS33" s="3"/>
      <c r="AT33" s="15"/>
      <c r="AU33" s="16"/>
      <c r="AV33" s="25"/>
      <c r="BP33" s="282"/>
      <c r="BQ33" s="293"/>
      <c r="BR33" s="284"/>
      <c r="BS33" s="284"/>
      <c r="BT33" s="497"/>
      <c r="BU33" s="498"/>
      <c r="BV33" s="284"/>
      <c r="BW33" s="285"/>
      <c r="BX33" s="287"/>
      <c r="BY33" s="288"/>
      <c r="BZ33" s="497"/>
      <c r="CA33" s="498"/>
      <c r="CB33" s="289"/>
      <c r="CC33" s="286"/>
      <c r="CD33" s="259"/>
      <c r="CE33" s="313"/>
      <c r="CF33" s="314"/>
      <c r="CG33" s="315"/>
    </row>
    <row r="34" spans="2:85" ht="12.75" customHeight="1">
      <c r="B34" s="131"/>
      <c r="C34" s="133">
        <f>SUM(G34:R34)</f>
        <v>0</v>
      </c>
      <c r="D34" s="133">
        <f t="shared" si="6"/>
        <v>0</v>
      </c>
      <c r="E34" s="133">
        <f t="shared" si="6"/>
        <v>0</v>
      </c>
      <c r="F34" s="133">
        <f t="shared" si="6"/>
        <v>0</v>
      </c>
      <c r="G34" s="217"/>
      <c r="H34" s="217"/>
      <c r="I34" s="217"/>
      <c r="J34" s="217"/>
      <c r="K34" s="217"/>
      <c r="L34" s="217"/>
      <c r="M34" s="217"/>
      <c r="N34" s="217"/>
      <c r="O34" s="217"/>
      <c r="P34" s="217"/>
      <c r="Q34" s="217"/>
      <c r="R34" s="217"/>
      <c r="AE34" s="150">
        <f>IF(AND(5&lt;$AG$1,$AG$1&lt;6),"非常勤","")</f>
      </c>
      <c r="AF34" s="88"/>
      <c r="AG34" s="97"/>
      <c r="AH34" s="97"/>
      <c r="AI34" s="530"/>
      <c r="AJ34" s="531"/>
      <c r="AK34" s="97"/>
      <c r="AL34" s="98"/>
      <c r="AM34" s="100"/>
      <c r="AN34" s="101"/>
      <c r="AO34" s="530"/>
      <c r="AP34" s="531"/>
      <c r="AQ34" s="102"/>
      <c r="AR34" s="99"/>
      <c r="AS34" s="3"/>
      <c r="AT34" s="15"/>
      <c r="AU34" s="16"/>
      <c r="AV34" s="25"/>
      <c r="BP34" s="282" t="s">
        <v>172</v>
      </c>
      <c r="BQ34" s="293"/>
      <c r="BR34" s="284"/>
      <c r="BS34" s="284"/>
      <c r="BT34" s="481"/>
      <c r="BU34" s="482"/>
      <c r="BV34" s="284"/>
      <c r="BW34" s="285"/>
      <c r="BX34" s="287"/>
      <c r="BY34" s="288"/>
      <c r="BZ34" s="481"/>
      <c r="CA34" s="482"/>
      <c r="CB34" s="289"/>
      <c r="CC34" s="286"/>
      <c r="CD34" s="259"/>
      <c r="CE34" s="313"/>
      <c r="CF34" s="314"/>
      <c r="CG34" s="315"/>
    </row>
    <row r="35" spans="2:85" ht="12.75" customHeight="1">
      <c r="B35" s="127"/>
      <c r="C35" s="176" t="s">
        <v>150</v>
      </c>
      <c r="D35" s="176">
        <f t="shared" si="6"/>
        <v>0</v>
      </c>
      <c r="E35" s="176">
        <f t="shared" si="6"/>
        <v>0</v>
      </c>
      <c r="F35" s="176">
        <f t="shared" si="6"/>
        <v>0</v>
      </c>
      <c r="G35" s="218"/>
      <c r="H35" s="218"/>
      <c r="I35" s="218"/>
      <c r="J35" s="218"/>
      <c r="K35" s="218"/>
      <c r="L35" s="218"/>
      <c r="M35" s="218"/>
      <c r="N35" s="218"/>
      <c r="O35" s="218"/>
      <c r="P35" s="218"/>
      <c r="Q35" s="218"/>
      <c r="R35" s="218"/>
      <c r="S35" s="58" t="s">
        <v>154</v>
      </c>
      <c r="T35" s="202"/>
      <c r="U35" s="203"/>
      <c r="V35" s="202"/>
      <c r="W35" s="203"/>
      <c r="X35" s="203"/>
      <c r="AE35" s="150">
        <f>IF(AND(5&lt;$AG$1,$AG$1&lt;6),"講　師","")</f>
      </c>
      <c r="AF35" s="88">
        <f>IF(AND(5&lt;$AG$1,$AG$1&lt;6),+C10,"")</f>
      </c>
      <c r="AG35" s="97"/>
      <c r="AH35" s="97">
        <f>IF(AND(5&lt;$AG$1,$AG$1&lt;6),+H10,"")</f>
      </c>
      <c r="AI35" s="530"/>
      <c r="AJ35" s="531"/>
      <c r="AK35" s="97"/>
      <c r="AL35" s="98"/>
      <c r="AM35" s="100"/>
      <c r="AN35" s="101"/>
      <c r="AO35" s="530"/>
      <c r="AP35" s="531"/>
      <c r="AQ35" s="102"/>
      <c r="AR35" s="99"/>
      <c r="AS35" s="3"/>
      <c r="AT35" s="15"/>
      <c r="AU35" s="16"/>
      <c r="AV35" s="25"/>
      <c r="BP35" s="282" t="s">
        <v>172</v>
      </c>
      <c r="BQ35" s="293" t="s">
        <v>172</v>
      </c>
      <c r="BR35" s="284"/>
      <c r="BS35" s="284" t="s">
        <v>172</v>
      </c>
      <c r="BT35" s="481"/>
      <c r="BU35" s="482"/>
      <c r="BV35" s="284"/>
      <c r="BW35" s="285"/>
      <c r="BX35" s="287"/>
      <c r="BY35" s="288"/>
      <c r="BZ35" s="481"/>
      <c r="CA35" s="482"/>
      <c r="CB35" s="289"/>
      <c r="CC35" s="286"/>
      <c r="CD35" s="259"/>
      <c r="CE35" s="313"/>
      <c r="CF35" s="314"/>
      <c r="CG35" s="315"/>
    </row>
    <row r="36" spans="2:85" ht="12.75" customHeight="1">
      <c r="B36" s="128"/>
      <c r="C36" s="134">
        <f>SUM(G36:R36)</f>
        <v>0</v>
      </c>
      <c r="D36" s="134">
        <f t="shared" si="6"/>
        <v>0</v>
      </c>
      <c r="E36" s="134">
        <f t="shared" si="6"/>
        <v>0</v>
      </c>
      <c r="F36" s="134">
        <f t="shared" si="6"/>
        <v>0</v>
      </c>
      <c r="G36" s="128">
        <f aca="true" t="shared" si="8" ref="G36:R36">IF(G35=1,+$S$7*G34,0)</f>
        <v>0</v>
      </c>
      <c r="H36" s="128">
        <f t="shared" si="8"/>
        <v>0</v>
      </c>
      <c r="I36" s="128">
        <f t="shared" si="8"/>
        <v>0</v>
      </c>
      <c r="J36" s="128">
        <f t="shared" si="8"/>
        <v>0</v>
      </c>
      <c r="K36" s="128">
        <f t="shared" si="8"/>
        <v>0</v>
      </c>
      <c r="L36" s="128">
        <f t="shared" si="8"/>
        <v>0</v>
      </c>
      <c r="M36" s="128">
        <f t="shared" si="8"/>
        <v>0</v>
      </c>
      <c r="N36" s="128">
        <f t="shared" si="8"/>
        <v>0</v>
      </c>
      <c r="O36" s="128">
        <f t="shared" si="8"/>
        <v>0</v>
      </c>
      <c r="P36" s="128">
        <f t="shared" si="8"/>
        <v>0</v>
      </c>
      <c r="Q36" s="128">
        <f t="shared" si="8"/>
        <v>0</v>
      </c>
      <c r="R36" s="128">
        <f t="shared" si="8"/>
        <v>0</v>
      </c>
      <c r="AE36" s="150"/>
      <c r="AF36" s="80"/>
      <c r="AG36" s="97"/>
      <c r="AH36" s="103"/>
      <c r="AI36" s="530"/>
      <c r="AJ36" s="531"/>
      <c r="AK36" s="97"/>
      <c r="AL36" s="98"/>
      <c r="AM36" s="100"/>
      <c r="AN36" s="101"/>
      <c r="AO36" s="530"/>
      <c r="AP36" s="531"/>
      <c r="AQ36" s="102"/>
      <c r="AR36" s="99"/>
      <c r="AS36" s="3"/>
      <c r="AT36" s="15"/>
      <c r="AU36" s="16"/>
      <c r="AV36" s="25"/>
      <c r="BP36" s="282"/>
      <c r="BQ36" s="266"/>
      <c r="BR36" s="284"/>
      <c r="BS36" s="284"/>
      <c r="BT36" s="481"/>
      <c r="BU36" s="482"/>
      <c r="BV36" s="284"/>
      <c r="BW36" s="285"/>
      <c r="BX36" s="287"/>
      <c r="BY36" s="288"/>
      <c r="BZ36" s="481"/>
      <c r="CA36" s="482"/>
      <c r="CB36" s="289"/>
      <c r="CC36" s="286"/>
      <c r="CD36" s="259"/>
      <c r="CE36" s="313"/>
      <c r="CF36" s="314"/>
      <c r="CG36" s="315"/>
    </row>
    <row r="37" spans="31:85" ht="12.75" customHeight="1">
      <c r="AE37" s="85"/>
      <c r="AF37" s="86"/>
      <c r="AG37" s="91"/>
      <c r="AH37" s="91"/>
      <c r="AI37" s="544"/>
      <c r="AJ37" s="545"/>
      <c r="AK37" s="91"/>
      <c r="AL37" s="92"/>
      <c r="AM37" s="94"/>
      <c r="AN37" s="95"/>
      <c r="AO37" s="544"/>
      <c r="AP37" s="545"/>
      <c r="AQ37" s="96"/>
      <c r="AR37" s="93"/>
      <c r="AS37" s="1"/>
      <c r="AT37" s="4"/>
      <c r="AU37" s="12"/>
      <c r="AV37" s="11"/>
      <c r="BP37" s="316"/>
      <c r="BQ37" s="272"/>
      <c r="BR37" s="273"/>
      <c r="BS37" s="273"/>
      <c r="BT37" s="497"/>
      <c r="BU37" s="498"/>
      <c r="BV37" s="273"/>
      <c r="BW37" s="274"/>
      <c r="BX37" s="276"/>
      <c r="BY37" s="277"/>
      <c r="BZ37" s="497"/>
      <c r="CA37" s="498"/>
      <c r="CB37" s="278"/>
      <c r="CC37" s="275"/>
      <c r="CD37" s="307"/>
      <c r="CE37" s="317"/>
      <c r="CF37" s="318"/>
      <c r="CG37" s="319"/>
    </row>
    <row r="38" spans="2:85" ht="12.75" customHeight="1">
      <c r="B38" s="123" t="s">
        <v>158</v>
      </c>
      <c r="C38" s="141" t="s">
        <v>125</v>
      </c>
      <c r="D38" s="141">
        <f aca="true" t="shared" si="9" ref="D38:F45">P38</f>
        <v>1</v>
      </c>
      <c r="E38" s="141">
        <f t="shared" si="9"/>
        <v>2</v>
      </c>
      <c r="F38" s="141">
        <f t="shared" si="9"/>
        <v>3</v>
      </c>
      <c r="G38" s="124">
        <v>4</v>
      </c>
      <c r="H38" s="124">
        <v>5</v>
      </c>
      <c r="I38" s="124">
        <v>6</v>
      </c>
      <c r="J38" s="124">
        <v>7</v>
      </c>
      <c r="K38" s="124">
        <v>8</v>
      </c>
      <c r="L38" s="124">
        <v>9</v>
      </c>
      <c r="M38" s="124">
        <v>10</v>
      </c>
      <c r="N38" s="124">
        <v>11</v>
      </c>
      <c r="O38" s="124">
        <v>12</v>
      </c>
      <c r="P38" s="124">
        <v>1</v>
      </c>
      <c r="Q38" s="124">
        <v>2</v>
      </c>
      <c r="R38" s="124">
        <v>3</v>
      </c>
      <c r="AE38" s="87">
        <f>IF(AND(6&lt;$AG$1,$AG$1&lt;6),"非常勤","")</f>
      </c>
      <c r="AF38" s="566"/>
      <c r="AG38" s="97"/>
      <c r="AH38" s="97"/>
      <c r="AI38" s="530"/>
      <c r="AJ38" s="531"/>
      <c r="AK38" s="97"/>
      <c r="AL38" s="98"/>
      <c r="AM38" s="100"/>
      <c r="AN38" s="101"/>
      <c r="AO38" s="530"/>
      <c r="AP38" s="531"/>
      <c r="AQ38" s="102"/>
      <c r="AR38" s="99"/>
      <c r="AS38" s="3"/>
      <c r="AT38" s="20"/>
      <c r="AU38" s="16"/>
      <c r="AV38" s="21"/>
      <c r="BP38" s="320" t="s">
        <v>172</v>
      </c>
      <c r="BQ38" s="499"/>
      <c r="BR38" s="284"/>
      <c r="BS38" s="284"/>
      <c r="BT38" s="481"/>
      <c r="BU38" s="482"/>
      <c r="BV38" s="284"/>
      <c r="BW38" s="285"/>
      <c r="BX38" s="287"/>
      <c r="BY38" s="288"/>
      <c r="BZ38" s="481"/>
      <c r="CA38" s="482"/>
      <c r="CB38" s="289"/>
      <c r="CC38" s="286"/>
      <c r="CD38" s="259"/>
      <c r="CE38" s="321"/>
      <c r="CF38" s="314"/>
      <c r="CG38" s="322"/>
    </row>
    <row r="39" spans="2:85" ht="12.75" customHeight="1">
      <c r="B39" s="125" t="s">
        <v>133</v>
      </c>
      <c r="C39" s="125" t="s">
        <v>132</v>
      </c>
      <c r="D39" s="125" t="str">
        <f t="shared" si="9"/>
        <v>時数</v>
      </c>
      <c r="E39" s="125" t="str">
        <f t="shared" si="9"/>
        <v>時数</v>
      </c>
      <c r="F39" s="125" t="str">
        <f t="shared" si="9"/>
        <v>時数</v>
      </c>
      <c r="G39" s="125" t="s">
        <v>130</v>
      </c>
      <c r="H39" s="125" t="s">
        <v>130</v>
      </c>
      <c r="I39" s="125" t="s">
        <v>130</v>
      </c>
      <c r="J39" s="125" t="s">
        <v>130</v>
      </c>
      <c r="K39" s="125" t="s">
        <v>130</v>
      </c>
      <c r="L39" s="125" t="s">
        <v>130</v>
      </c>
      <c r="M39" s="125" t="s">
        <v>130</v>
      </c>
      <c r="N39" s="125" t="s">
        <v>130</v>
      </c>
      <c r="O39" s="125" t="s">
        <v>130</v>
      </c>
      <c r="P39" s="125" t="s">
        <v>130</v>
      </c>
      <c r="Q39" s="125" t="s">
        <v>130</v>
      </c>
      <c r="R39" s="125" t="s">
        <v>130</v>
      </c>
      <c r="AE39" s="87">
        <f>IF(AND(6&lt;$AG$1,$AG$1&lt;6),"講　師","")</f>
      </c>
      <c r="AF39" s="567"/>
      <c r="AG39" s="97"/>
      <c r="AH39" s="97"/>
      <c r="AI39" s="530"/>
      <c r="AJ39" s="531"/>
      <c r="AK39" s="97"/>
      <c r="AL39" s="98"/>
      <c r="AM39" s="100"/>
      <c r="AN39" s="101"/>
      <c r="AO39" s="530"/>
      <c r="AP39" s="531"/>
      <c r="AQ39" s="102"/>
      <c r="AR39" s="99"/>
      <c r="AS39" s="3"/>
      <c r="AT39" s="19"/>
      <c r="AU39" s="16"/>
      <c r="AV39" s="14"/>
      <c r="BP39" s="320" t="s">
        <v>172</v>
      </c>
      <c r="BQ39" s="500"/>
      <c r="BR39" s="284"/>
      <c r="BS39" s="284"/>
      <c r="BT39" s="481"/>
      <c r="BU39" s="482"/>
      <c r="BV39" s="284"/>
      <c r="BW39" s="285"/>
      <c r="BX39" s="287"/>
      <c r="BY39" s="288"/>
      <c r="BZ39" s="481"/>
      <c r="CA39" s="482"/>
      <c r="CB39" s="289"/>
      <c r="CC39" s="286"/>
      <c r="CD39" s="259"/>
      <c r="CE39" s="323"/>
      <c r="CF39" s="314"/>
      <c r="CG39" s="324"/>
    </row>
    <row r="40" spans="2:85" ht="12.75" customHeight="1">
      <c r="B40" s="126">
        <f>+P8</f>
        <v>0</v>
      </c>
      <c r="C40" s="127">
        <f>SUM(G40:R40)</f>
        <v>0</v>
      </c>
      <c r="D40" s="127">
        <f t="shared" si="9"/>
        <v>0</v>
      </c>
      <c r="E40" s="127">
        <f t="shared" si="9"/>
        <v>0</v>
      </c>
      <c r="F40" s="127">
        <f t="shared" si="9"/>
        <v>0</v>
      </c>
      <c r="G40" s="217"/>
      <c r="H40" s="217"/>
      <c r="I40" s="217"/>
      <c r="J40" s="217"/>
      <c r="K40" s="217"/>
      <c r="L40" s="217"/>
      <c r="M40" s="217"/>
      <c r="N40" s="217"/>
      <c r="O40" s="217"/>
      <c r="P40" s="217"/>
      <c r="Q40" s="217"/>
      <c r="R40" s="217"/>
      <c r="S40" s="599" t="e">
        <f>IF(AND((Q8/P8)&gt;0.8,(Q8/P8)&lt;=0.9),"予算残が２０％以下になっています",IF(AND((Q8/P8)&gt;0.9,(Q8/P8)&lt;1),"予算残が１０％以下になっています",IF(Q8&gt;P8,"予算を超えています","")))</f>
        <v>#DIV/0!</v>
      </c>
      <c r="T40" s="600"/>
      <c r="U40" s="600"/>
      <c r="V40" s="600"/>
      <c r="W40" s="600"/>
      <c r="X40" s="600"/>
      <c r="Y40" s="600"/>
      <c r="Z40" s="600"/>
      <c r="AE40" s="79"/>
      <c r="AF40" s="80"/>
      <c r="AG40" s="103"/>
      <c r="AH40" s="103"/>
      <c r="AI40" s="530"/>
      <c r="AJ40" s="531"/>
      <c r="AK40" s="103"/>
      <c r="AL40" s="104"/>
      <c r="AM40" s="109"/>
      <c r="AN40" s="108"/>
      <c r="AO40" s="530"/>
      <c r="AP40" s="531"/>
      <c r="AQ40" s="106"/>
      <c r="AR40" s="107"/>
      <c r="AS40" s="2"/>
      <c r="AT40" s="13"/>
      <c r="AU40" s="17"/>
      <c r="AV40" s="18"/>
      <c r="BP40" s="265"/>
      <c r="BQ40" s="266"/>
      <c r="BR40" s="297"/>
      <c r="BS40" s="297"/>
      <c r="BT40" s="481"/>
      <c r="BU40" s="482"/>
      <c r="BV40" s="297"/>
      <c r="BW40" s="298"/>
      <c r="BX40" s="325"/>
      <c r="BY40" s="304"/>
      <c r="BZ40" s="481"/>
      <c r="CA40" s="482"/>
      <c r="CB40" s="300"/>
      <c r="CC40" s="301"/>
      <c r="CD40" s="260"/>
      <c r="CE40" s="326"/>
      <c r="CF40" s="327"/>
      <c r="CG40" s="329"/>
    </row>
    <row r="41" spans="2:85" ht="12.75" customHeight="1">
      <c r="B41" s="128">
        <f>+J8</f>
        <v>0</v>
      </c>
      <c r="C41" s="129">
        <f>SUM(G41:R41)</f>
        <v>0</v>
      </c>
      <c r="D41" s="129">
        <f t="shared" si="9"/>
        <v>0</v>
      </c>
      <c r="E41" s="129">
        <f t="shared" si="9"/>
        <v>0</v>
      </c>
      <c r="F41" s="129">
        <f t="shared" si="9"/>
        <v>0</v>
      </c>
      <c r="G41" s="128">
        <f aca="true" t="shared" si="10" ref="G41:R41">+$H$8*G40</f>
        <v>0</v>
      </c>
      <c r="H41" s="128">
        <f t="shared" si="10"/>
        <v>0</v>
      </c>
      <c r="I41" s="128">
        <f t="shared" si="10"/>
        <v>0</v>
      </c>
      <c r="J41" s="128">
        <f t="shared" si="10"/>
        <v>0</v>
      </c>
      <c r="K41" s="128">
        <f t="shared" si="10"/>
        <v>0</v>
      </c>
      <c r="L41" s="128">
        <f t="shared" si="10"/>
        <v>0</v>
      </c>
      <c r="M41" s="128">
        <f t="shared" si="10"/>
        <v>0</v>
      </c>
      <c r="N41" s="128">
        <f t="shared" si="10"/>
        <v>0</v>
      </c>
      <c r="O41" s="128">
        <f t="shared" si="10"/>
        <v>0</v>
      </c>
      <c r="P41" s="128">
        <f t="shared" si="10"/>
        <v>0</v>
      </c>
      <c r="Q41" s="128">
        <f t="shared" si="10"/>
        <v>0</v>
      </c>
      <c r="R41" s="128">
        <f t="shared" si="10"/>
        <v>0</v>
      </c>
      <c r="S41" s="599"/>
      <c r="T41" s="600"/>
      <c r="U41" s="600"/>
      <c r="V41" s="600"/>
      <c r="W41" s="600"/>
      <c r="X41" s="600"/>
      <c r="Y41" s="600"/>
      <c r="Z41" s="600"/>
      <c r="AE41" s="85"/>
      <c r="AF41" s="86"/>
      <c r="AG41" s="91"/>
      <c r="AH41" s="91"/>
      <c r="AI41" s="544"/>
      <c r="AJ41" s="545"/>
      <c r="AK41" s="91"/>
      <c r="AL41" s="92"/>
      <c r="AM41" s="94"/>
      <c r="AN41" s="95"/>
      <c r="AO41" s="544"/>
      <c r="AP41" s="545"/>
      <c r="AQ41" s="96"/>
      <c r="AR41" s="93"/>
      <c r="AS41" s="1"/>
      <c r="AT41" s="4"/>
      <c r="AU41" s="12"/>
      <c r="AV41" s="11"/>
      <c r="BP41" s="316"/>
      <c r="BQ41" s="272"/>
      <c r="BR41" s="273"/>
      <c r="BS41" s="273"/>
      <c r="BT41" s="497"/>
      <c r="BU41" s="498"/>
      <c r="BV41" s="273"/>
      <c r="BW41" s="274"/>
      <c r="BX41" s="276"/>
      <c r="BY41" s="277"/>
      <c r="BZ41" s="497"/>
      <c r="CA41" s="498"/>
      <c r="CB41" s="278"/>
      <c r="CC41" s="275"/>
      <c r="CD41" s="307"/>
      <c r="CE41" s="317"/>
      <c r="CF41" s="318"/>
      <c r="CG41" s="319"/>
    </row>
    <row r="42" spans="2:85" ht="12.75" customHeight="1">
      <c r="B42" s="130" t="s">
        <v>134</v>
      </c>
      <c r="C42" s="132" t="s">
        <v>131</v>
      </c>
      <c r="D42" s="132" t="str">
        <f t="shared" si="9"/>
        <v>日数</v>
      </c>
      <c r="E42" s="132" t="str">
        <f t="shared" si="9"/>
        <v>日数</v>
      </c>
      <c r="F42" s="132" t="str">
        <f t="shared" si="9"/>
        <v>日数</v>
      </c>
      <c r="G42" s="125" t="s">
        <v>127</v>
      </c>
      <c r="H42" s="125" t="s">
        <v>127</v>
      </c>
      <c r="I42" s="125" t="s">
        <v>127</v>
      </c>
      <c r="J42" s="125" t="s">
        <v>127</v>
      </c>
      <c r="K42" s="125" t="s">
        <v>127</v>
      </c>
      <c r="L42" s="125" t="s">
        <v>127</v>
      </c>
      <c r="M42" s="125" t="s">
        <v>127</v>
      </c>
      <c r="N42" s="125" t="s">
        <v>127</v>
      </c>
      <c r="O42" s="125" t="s">
        <v>127</v>
      </c>
      <c r="P42" s="125" t="s">
        <v>127</v>
      </c>
      <c r="Q42" s="125" t="s">
        <v>127</v>
      </c>
      <c r="R42" s="125" t="s">
        <v>127</v>
      </c>
      <c r="AE42" s="87"/>
      <c r="AF42" s="566" t="s">
        <v>39</v>
      </c>
      <c r="AG42" s="97"/>
      <c r="AH42" s="97"/>
      <c r="AI42" s="530"/>
      <c r="AJ42" s="531"/>
      <c r="AK42" s="97"/>
      <c r="AL42" s="98"/>
      <c r="AM42" s="100"/>
      <c r="AN42" s="101"/>
      <c r="AO42" s="530"/>
      <c r="AP42" s="531"/>
      <c r="AQ42" s="102"/>
      <c r="AR42" s="99"/>
      <c r="AS42" s="3"/>
      <c r="AT42" s="20"/>
      <c r="AU42" s="16"/>
      <c r="AV42" s="21"/>
      <c r="BP42" s="320"/>
      <c r="BQ42" s="499" t="s">
        <v>203</v>
      </c>
      <c r="BR42" s="284"/>
      <c r="BS42" s="284"/>
      <c r="BT42" s="481"/>
      <c r="BU42" s="482"/>
      <c r="BV42" s="284"/>
      <c r="BW42" s="285"/>
      <c r="BX42" s="287"/>
      <c r="BY42" s="288"/>
      <c r="BZ42" s="481"/>
      <c r="CA42" s="482"/>
      <c r="CB42" s="289"/>
      <c r="CC42" s="286"/>
      <c r="CD42" s="259"/>
      <c r="CE42" s="321"/>
      <c r="CF42" s="314"/>
      <c r="CG42" s="322"/>
    </row>
    <row r="43" spans="2:85" ht="12.75" customHeight="1">
      <c r="B43" s="131"/>
      <c r="C43" s="133">
        <f>SUM(G43:R43)</f>
        <v>0</v>
      </c>
      <c r="D43" s="133">
        <f t="shared" si="9"/>
        <v>0</v>
      </c>
      <c r="E43" s="133">
        <f t="shared" si="9"/>
        <v>0</v>
      </c>
      <c r="F43" s="133">
        <f t="shared" si="9"/>
        <v>0</v>
      </c>
      <c r="G43" s="217"/>
      <c r="H43" s="217"/>
      <c r="I43" s="217"/>
      <c r="J43" s="217"/>
      <c r="K43" s="217"/>
      <c r="L43" s="217"/>
      <c r="M43" s="217"/>
      <c r="N43" s="217"/>
      <c r="O43" s="217"/>
      <c r="P43" s="217"/>
      <c r="Q43" s="217"/>
      <c r="R43" s="217"/>
      <c r="AE43" s="87"/>
      <c r="AF43" s="567"/>
      <c r="AG43" s="97"/>
      <c r="AH43" s="97">
        <f>+IF($AG$1=1,+AH15,IF($AG$1=2,AH15+AH19,IF($AG$1=3,AH15+AH19+AH23,IF($AG$1=4,AH15+AH19+AH23+AH27,AH15+AH19+AH23+AH27+AH31))))</f>
        <v>0</v>
      </c>
      <c r="AI43" s="530"/>
      <c r="AJ43" s="531"/>
      <c r="AK43" s="97"/>
      <c r="AL43" s="98"/>
      <c r="AM43" s="100"/>
      <c r="AN43" s="101"/>
      <c r="AO43" s="530"/>
      <c r="AP43" s="531"/>
      <c r="AQ43" s="102"/>
      <c r="AR43" s="99"/>
      <c r="AS43" s="3"/>
      <c r="AT43" s="19"/>
      <c r="AU43" s="16"/>
      <c r="AV43" s="14"/>
      <c r="BP43" s="320"/>
      <c r="BQ43" s="500"/>
      <c r="BR43" s="284"/>
      <c r="BS43" s="284">
        <v>0</v>
      </c>
      <c r="BT43" s="481"/>
      <c r="BU43" s="482"/>
      <c r="BV43" s="284"/>
      <c r="BW43" s="285"/>
      <c r="BX43" s="287"/>
      <c r="BY43" s="288"/>
      <c r="BZ43" s="481"/>
      <c r="CA43" s="482"/>
      <c r="CB43" s="289"/>
      <c r="CC43" s="286"/>
      <c r="CD43" s="259"/>
      <c r="CE43" s="323"/>
      <c r="CF43" s="314"/>
      <c r="CG43" s="324"/>
    </row>
    <row r="44" spans="2:85" ht="12.75" customHeight="1" thickBot="1">
      <c r="B44" s="127"/>
      <c r="C44" s="176" t="s">
        <v>150</v>
      </c>
      <c r="D44" s="176">
        <f t="shared" si="9"/>
        <v>0</v>
      </c>
      <c r="E44" s="176">
        <f t="shared" si="9"/>
        <v>0</v>
      </c>
      <c r="F44" s="176">
        <f t="shared" si="9"/>
        <v>0</v>
      </c>
      <c r="G44" s="218"/>
      <c r="H44" s="218"/>
      <c r="I44" s="218"/>
      <c r="J44" s="218"/>
      <c r="K44" s="218"/>
      <c r="L44" s="218"/>
      <c r="M44" s="218"/>
      <c r="N44" s="218"/>
      <c r="O44" s="218"/>
      <c r="P44" s="218"/>
      <c r="Q44" s="218"/>
      <c r="R44" s="218"/>
      <c r="S44" s="58" t="s">
        <v>154</v>
      </c>
      <c r="T44" s="202"/>
      <c r="U44" s="203"/>
      <c r="V44" s="202"/>
      <c r="W44" s="203"/>
      <c r="X44" s="203"/>
      <c r="AE44" s="89"/>
      <c r="AF44" s="90"/>
      <c r="AG44" s="110"/>
      <c r="AH44" s="110">
        <f>+IF($AG$1=1,+AH16,IF($AG$1=2,AH16+AH20,IF($AG$1=3,AH16+AH20+AH24,IF($AG$1=4,AH16+AH20+AH24+AH28,AH16+AH20+AH24+AH28+AH32))))</f>
        <v>28800</v>
      </c>
      <c r="AI44" s="534"/>
      <c r="AJ44" s="543"/>
      <c r="AK44" s="110"/>
      <c r="AL44" s="534">
        <f>+IF($AG$1=1,+AL16,IF($AG$1=2,AL16+AL20,IF($AG$1=3,AL16+AL20+AL24,IF($AG$1=4,AL16+AL20+AL24+AL28,AL16+AL20+AL24+AL28+AL32))))</f>
        <v>28800</v>
      </c>
      <c r="AM44" s="535"/>
      <c r="AN44" s="112">
        <f>+IF($AG$1=1,+AN16,IF($AG$1=2,AN16+AN20,IF($AG$1=3,AN16+AN20+AN24,IF($AG$1=4,AN16+AN20+AN24+AN28,AN16+AN20+AN24+AN28+AN32))))</f>
        <v>879</v>
      </c>
      <c r="AO44" s="534">
        <f>SUM(AO14:AO40)</f>
        <v>101</v>
      </c>
      <c r="AP44" s="543"/>
      <c r="AQ44" s="113">
        <f>+IF($AG$1=1,+AQ16,IF($AG$1=2,AQ16+AQ20,IF($AG$1=3,AQ16+AQ20+AQ24,IF($AG$1=4,AQ16+AQ20+AQ24+AQ28,AQ16+AQ20+AQ24+AQ28+AQ32))))</f>
        <v>980</v>
      </c>
      <c r="AR44" s="111">
        <f>+IF($AG$1=1,+AR16,IF($AG$1=2,AR16+AR20,IF($AG$1=3,AR16+AR20+AR24,IF($AG$1=4,AR16+AR20+AR24+AR28,AR16+AR20+AR24+AR28+AR32))))</f>
        <v>27820</v>
      </c>
      <c r="AS44" s="6"/>
      <c r="AT44" s="26"/>
      <c r="AU44" s="27"/>
      <c r="AV44" s="28"/>
      <c r="BP44" s="330"/>
      <c r="BQ44" s="331"/>
      <c r="BR44" s="332"/>
      <c r="BS44" s="332">
        <v>0</v>
      </c>
      <c r="BT44" s="494"/>
      <c r="BU44" s="495"/>
      <c r="BV44" s="332"/>
      <c r="BW44" s="494">
        <v>0</v>
      </c>
      <c r="BX44" s="496"/>
      <c r="BY44" s="334">
        <v>0</v>
      </c>
      <c r="BZ44" s="494"/>
      <c r="CA44" s="495"/>
      <c r="CB44" s="335">
        <v>0</v>
      </c>
      <c r="CC44" s="333">
        <v>0</v>
      </c>
      <c r="CD44" s="336"/>
      <c r="CE44" s="337"/>
      <c r="CF44" s="338"/>
      <c r="CG44" s="339"/>
    </row>
    <row r="45" spans="2:68" ht="12">
      <c r="B45" s="128"/>
      <c r="C45" s="134">
        <f>SUM(G45:R45)</f>
        <v>0</v>
      </c>
      <c r="D45" s="134">
        <f t="shared" si="9"/>
        <v>0</v>
      </c>
      <c r="E45" s="134">
        <f t="shared" si="9"/>
        <v>0</v>
      </c>
      <c r="F45" s="134">
        <f t="shared" si="9"/>
        <v>0</v>
      </c>
      <c r="G45" s="128">
        <f aca="true" t="shared" si="11" ref="G45:R45">IF(G44=1,+$S$8*G43,0)</f>
        <v>0</v>
      </c>
      <c r="H45" s="128">
        <f t="shared" si="11"/>
        <v>0</v>
      </c>
      <c r="I45" s="128">
        <f t="shared" si="11"/>
        <v>0</v>
      </c>
      <c r="J45" s="128">
        <f t="shared" si="11"/>
        <v>0</v>
      </c>
      <c r="K45" s="128">
        <f t="shared" si="11"/>
        <v>0</v>
      </c>
      <c r="L45" s="128">
        <f t="shared" si="11"/>
        <v>0</v>
      </c>
      <c r="M45" s="128">
        <f t="shared" si="11"/>
        <v>0</v>
      </c>
      <c r="N45" s="128">
        <f t="shared" si="11"/>
        <v>0</v>
      </c>
      <c r="O45" s="128">
        <f t="shared" si="11"/>
        <v>0</v>
      </c>
      <c r="P45" s="128">
        <f t="shared" si="11"/>
        <v>0</v>
      </c>
      <c r="Q45" s="128">
        <f t="shared" si="11"/>
        <v>0</v>
      </c>
      <c r="R45" s="128">
        <f t="shared" si="11"/>
        <v>0</v>
      </c>
      <c r="BP45" s="252"/>
    </row>
    <row r="46" ht="12">
      <c r="BP46" s="252"/>
    </row>
    <row r="47" spans="2:76" ht="18.75">
      <c r="B47" s="123" t="s">
        <v>159</v>
      </c>
      <c r="C47" s="141" t="s">
        <v>125</v>
      </c>
      <c r="D47" s="141">
        <f aca="true" t="shared" si="12" ref="D47:F54">P47</f>
        <v>1</v>
      </c>
      <c r="E47" s="141">
        <f t="shared" si="12"/>
        <v>2</v>
      </c>
      <c r="F47" s="141">
        <f t="shared" si="12"/>
        <v>3</v>
      </c>
      <c r="G47" s="124">
        <v>4</v>
      </c>
      <c r="H47" s="124">
        <v>5</v>
      </c>
      <c r="I47" s="124">
        <v>6</v>
      </c>
      <c r="J47" s="124">
        <v>7</v>
      </c>
      <c r="K47" s="124">
        <v>8</v>
      </c>
      <c r="L47" s="124">
        <v>9</v>
      </c>
      <c r="M47" s="124">
        <v>10</v>
      </c>
      <c r="N47" s="124">
        <v>11</v>
      </c>
      <c r="O47" s="124">
        <v>12</v>
      </c>
      <c r="P47" s="124">
        <v>1</v>
      </c>
      <c r="Q47" s="124">
        <v>2</v>
      </c>
      <c r="R47" s="124">
        <v>3</v>
      </c>
      <c r="AF47" s="33" t="s">
        <v>0</v>
      </c>
      <c r="AG47" s="74">
        <f>+AG4</f>
        <v>30</v>
      </c>
      <c r="AH47" s="32" t="s">
        <v>1</v>
      </c>
      <c r="AI47" s="546">
        <f>+AI4</f>
        <v>5</v>
      </c>
      <c r="AJ47" s="546"/>
      <c r="AK47" s="32" t="s">
        <v>2</v>
      </c>
      <c r="AL47" s="7" t="s">
        <v>3</v>
      </c>
      <c r="AM47" s="7"/>
      <c r="BP47" s="252"/>
      <c r="BQ47" s="253" t="s">
        <v>175</v>
      </c>
      <c r="BR47" s="262">
        <v>19</v>
      </c>
      <c r="BS47" s="254" t="s">
        <v>176</v>
      </c>
      <c r="BT47" s="512">
        <v>3</v>
      </c>
      <c r="BU47" s="512"/>
      <c r="BV47" s="254" t="s">
        <v>177</v>
      </c>
      <c r="BW47" s="255" t="s">
        <v>178</v>
      </c>
      <c r="BX47" s="255"/>
    </row>
    <row r="48" spans="2:82" ht="12">
      <c r="B48" s="125" t="s">
        <v>133</v>
      </c>
      <c r="C48" s="125" t="s">
        <v>132</v>
      </c>
      <c r="D48" s="125" t="str">
        <f t="shared" si="12"/>
        <v>時数</v>
      </c>
      <c r="E48" s="125" t="str">
        <f t="shared" si="12"/>
        <v>時数</v>
      </c>
      <c r="F48" s="125" t="str">
        <f t="shared" si="12"/>
        <v>時数</v>
      </c>
      <c r="G48" s="125" t="s">
        <v>130</v>
      </c>
      <c r="H48" s="125" t="s">
        <v>130</v>
      </c>
      <c r="I48" s="125" t="s">
        <v>130</v>
      </c>
      <c r="J48" s="125" t="s">
        <v>130</v>
      </c>
      <c r="K48" s="125" t="s">
        <v>130</v>
      </c>
      <c r="L48" s="125" t="s">
        <v>130</v>
      </c>
      <c r="M48" s="125" t="s">
        <v>130</v>
      </c>
      <c r="N48" s="125" t="s">
        <v>130</v>
      </c>
      <c r="O48" s="125" t="s">
        <v>130</v>
      </c>
      <c r="P48" s="125" t="s">
        <v>130</v>
      </c>
      <c r="Q48" s="125" t="s">
        <v>130</v>
      </c>
      <c r="R48" s="125" t="s">
        <v>130</v>
      </c>
      <c r="AS48" s="8" t="s">
        <v>32</v>
      </c>
      <c r="BP48" s="252"/>
      <c r="CD48" s="252" t="s">
        <v>204</v>
      </c>
    </row>
    <row r="49" spans="2:84" ht="22.5" customHeight="1">
      <c r="B49" s="126">
        <f>+P9</f>
        <v>0</v>
      </c>
      <c r="C49" s="127">
        <f>SUM(G49:R49)</f>
        <v>0</v>
      </c>
      <c r="D49" s="127">
        <f t="shared" si="12"/>
        <v>0</v>
      </c>
      <c r="E49" s="127">
        <f t="shared" si="12"/>
        <v>0</v>
      </c>
      <c r="F49" s="127">
        <f t="shared" si="12"/>
        <v>0</v>
      </c>
      <c r="G49" s="217"/>
      <c r="H49" s="217"/>
      <c r="I49" s="217"/>
      <c r="J49" s="217"/>
      <c r="K49" s="217"/>
      <c r="L49" s="217"/>
      <c r="M49" s="217"/>
      <c r="N49" s="217"/>
      <c r="O49" s="217"/>
      <c r="P49" s="217"/>
      <c r="Q49" s="217"/>
      <c r="R49" s="217"/>
      <c r="S49" s="599" t="e">
        <f>IF(AND((Q9/P9)&gt;0.8,(Q9/P9)&lt;=0.9),"予算残が２０％以下になっています",IF(AND((Q9/P9)&gt;0.9,(Q9/P9)&lt;1),"予算残が１０％以下になっています",IF(Q9&gt;P9,"予算を超えています","")))</f>
        <v>#DIV/0!</v>
      </c>
      <c r="T49" s="600"/>
      <c r="U49" s="600"/>
      <c r="V49" s="600"/>
      <c r="W49" s="600"/>
      <c r="X49" s="600"/>
      <c r="Y49" s="600"/>
      <c r="Z49" s="600"/>
      <c r="AN49" s="34" t="s">
        <v>31</v>
      </c>
      <c r="AO49" s="548" t="str">
        <f>+H2</f>
        <v>吉富中学校</v>
      </c>
      <c r="AP49" s="548"/>
      <c r="AQ49" s="548"/>
      <c r="AR49" s="548"/>
      <c r="AS49" s="74">
        <f>+C2</f>
        <v>71</v>
      </c>
      <c r="AU49" s="29" t="s">
        <v>29</v>
      </c>
      <c r="BP49" s="252"/>
      <c r="BY49" s="328" t="s">
        <v>205</v>
      </c>
      <c r="BZ49" s="513" t="s">
        <v>174</v>
      </c>
      <c r="CA49" s="513"/>
      <c r="CB49" s="513"/>
      <c r="CC49" s="513"/>
      <c r="CD49" s="262">
        <v>1</v>
      </c>
      <c r="CF49" s="261" t="s">
        <v>29</v>
      </c>
    </row>
    <row r="50" spans="2:81" ht="12.75" customHeight="1" thickBot="1">
      <c r="B50" s="128">
        <f>+J9</f>
        <v>0</v>
      </c>
      <c r="C50" s="129">
        <f>SUM(G50:R50)</f>
        <v>0</v>
      </c>
      <c r="D50" s="129">
        <f t="shared" si="12"/>
        <v>0</v>
      </c>
      <c r="E50" s="129">
        <f t="shared" si="12"/>
        <v>0</v>
      </c>
      <c r="F50" s="129">
        <f t="shared" si="12"/>
        <v>0</v>
      </c>
      <c r="G50" s="128">
        <f>+$H$9*G49</f>
        <v>0</v>
      </c>
      <c r="H50" s="128">
        <f aca="true" t="shared" si="13" ref="H50:R50">+$H$9*H49</f>
        <v>0</v>
      </c>
      <c r="I50" s="128">
        <f t="shared" si="13"/>
        <v>0</v>
      </c>
      <c r="J50" s="128">
        <f t="shared" si="13"/>
        <v>0</v>
      </c>
      <c r="K50" s="128">
        <f t="shared" si="13"/>
        <v>0</v>
      </c>
      <c r="L50" s="128">
        <f t="shared" si="13"/>
        <v>0</v>
      </c>
      <c r="M50" s="128">
        <f t="shared" si="13"/>
        <v>0</v>
      </c>
      <c r="N50" s="128">
        <f t="shared" si="13"/>
        <v>0</v>
      </c>
      <c r="O50" s="128">
        <f t="shared" si="13"/>
        <v>0</v>
      </c>
      <c r="P50" s="128">
        <f t="shared" si="13"/>
        <v>0</v>
      </c>
      <c r="Q50" s="128">
        <f t="shared" si="13"/>
        <v>0</v>
      </c>
      <c r="R50" s="128">
        <f t="shared" si="13"/>
        <v>0</v>
      </c>
      <c r="S50" s="599"/>
      <c r="T50" s="600"/>
      <c r="U50" s="600"/>
      <c r="V50" s="600"/>
      <c r="W50" s="600"/>
      <c r="X50" s="600"/>
      <c r="Y50" s="600"/>
      <c r="Z50" s="600"/>
      <c r="AN50" s="30"/>
      <c r="AO50" s="31"/>
      <c r="AP50" s="31"/>
      <c r="AQ50" s="31"/>
      <c r="AR50" s="31"/>
      <c r="BP50" s="252"/>
      <c r="BY50" s="340"/>
      <c r="BZ50" s="341"/>
      <c r="CA50" s="341"/>
      <c r="CB50" s="341"/>
      <c r="CC50" s="341"/>
    </row>
    <row r="51" spans="2:85" ht="12.75" customHeight="1">
      <c r="B51" s="130" t="s">
        <v>134</v>
      </c>
      <c r="C51" s="132" t="s">
        <v>131</v>
      </c>
      <c r="D51" s="132" t="str">
        <f t="shared" si="12"/>
        <v>日数</v>
      </c>
      <c r="E51" s="132" t="str">
        <f t="shared" si="12"/>
        <v>日数</v>
      </c>
      <c r="F51" s="132" t="str">
        <f t="shared" si="12"/>
        <v>日数</v>
      </c>
      <c r="G51" s="125" t="s">
        <v>127</v>
      </c>
      <c r="H51" s="125" t="s">
        <v>127</v>
      </c>
      <c r="I51" s="125" t="s">
        <v>127</v>
      </c>
      <c r="J51" s="125" t="s">
        <v>127</v>
      </c>
      <c r="K51" s="125" t="s">
        <v>127</v>
      </c>
      <c r="L51" s="125" t="s">
        <v>127</v>
      </c>
      <c r="M51" s="125" t="s">
        <v>127</v>
      </c>
      <c r="N51" s="125" t="s">
        <v>127</v>
      </c>
      <c r="O51" s="125" t="s">
        <v>127</v>
      </c>
      <c r="P51" s="125" t="s">
        <v>127</v>
      </c>
      <c r="Q51" s="125" t="s">
        <v>127</v>
      </c>
      <c r="R51" s="125" t="s">
        <v>127</v>
      </c>
      <c r="AE51" s="582" t="s">
        <v>9</v>
      </c>
      <c r="AF51" s="568" t="s">
        <v>13</v>
      </c>
      <c r="AG51" s="77"/>
      <c r="AH51" s="570" t="s">
        <v>10</v>
      </c>
      <c r="AI51" s="570"/>
      <c r="AJ51" s="570"/>
      <c r="AK51" s="570"/>
      <c r="AL51" s="536"/>
      <c r="AM51" s="537"/>
      <c r="AN51" s="549" t="s">
        <v>21</v>
      </c>
      <c r="AO51" s="536"/>
      <c r="AP51" s="536"/>
      <c r="AQ51" s="537"/>
      <c r="AR51" s="78" t="s">
        <v>18</v>
      </c>
      <c r="AS51" s="568" t="s">
        <v>12</v>
      </c>
      <c r="AT51" s="560" t="s">
        <v>17</v>
      </c>
      <c r="AU51" s="561"/>
      <c r="AV51" s="562"/>
      <c r="BP51" s="514" t="s">
        <v>192</v>
      </c>
      <c r="BQ51" s="501" t="s">
        <v>193</v>
      </c>
      <c r="BR51" s="263"/>
      <c r="BS51" s="516" t="s">
        <v>194</v>
      </c>
      <c r="BT51" s="516"/>
      <c r="BU51" s="516"/>
      <c r="BV51" s="516"/>
      <c r="BW51" s="517"/>
      <c r="BX51" s="518"/>
      <c r="BY51" s="519" t="s">
        <v>195</v>
      </c>
      <c r="BZ51" s="517"/>
      <c r="CA51" s="517"/>
      <c r="CB51" s="518"/>
      <c r="CC51" s="264" t="s">
        <v>196</v>
      </c>
      <c r="CD51" s="501" t="s">
        <v>197</v>
      </c>
      <c r="CE51" s="503" t="s">
        <v>198</v>
      </c>
      <c r="CF51" s="504"/>
      <c r="CG51" s="505"/>
    </row>
    <row r="52" spans="2:85" ht="12.75" customHeight="1">
      <c r="B52" s="131"/>
      <c r="C52" s="133">
        <f>SUM(G52:R52)</f>
        <v>0</v>
      </c>
      <c r="D52" s="133">
        <f t="shared" si="12"/>
        <v>0</v>
      </c>
      <c r="E52" s="133">
        <f t="shared" si="12"/>
        <v>0</v>
      </c>
      <c r="F52" s="133">
        <f t="shared" si="12"/>
        <v>0</v>
      </c>
      <c r="G52" s="217"/>
      <c r="H52" s="217"/>
      <c r="I52" s="217"/>
      <c r="J52" s="217"/>
      <c r="K52" s="217"/>
      <c r="L52" s="217"/>
      <c r="M52" s="217"/>
      <c r="N52" s="217"/>
      <c r="O52" s="217"/>
      <c r="P52" s="217"/>
      <c r="Q52" s="217"/>
      <c r="R52" s="217"/>
      <c r="AE52" s="583"/>
      <c r="AF52" s="569"/>
      <c r="AG52" s="81" t="s">
        <v>14</v>
      </c>
      <c r="AH52" s="81" t="s">
        <v>15</v>
      </c>
      <c r="AI52" s="541"/>
      <c r="AJ52" s="547"/>
      <c r="AK52" s="81"/>
      <c r="AL52" s="541" t="s">
        <v>16</v>
      </c>
      <c r="AM52" s="542"/>
      <c r="AN52" s="82" t="s">
        <v>11</v>
      </c>
      <c r="AO52" s="550" t="str">
        <f>IF(OR($AO$15&gt;0,$AO$19&gt;0,$AO$23&gt;0,AO67&gt;0,AO71&gt;0),"雇用保険料","")</f>
        <v>雇用保険料</v>
      </c>
      <c r="AP52" s="551"/>
      <c r="AQ52" s="83" t="s">
        <v>16</v>
      </c>
      <c r="AR52" s="84" t="s">
        <v>10</v>
      </c>
      <c r="AS52" s="569"/>
      <c r="AT52" s="563"/>
      <c r="AU52" s="564"/>
      <c r="AV52" s="565"/>
      <c r="BP52" s="515"/>
      <c r="BQ52" s="502"/>
      <c r="BR52" s="267" t="s">
        <v>199</v>
      </c>
      <c r="BS52" s="267" t="s">
        <v>200</v>
      </c>
      <c r="BT52" s="509"/>
      <c r="BU52" s="510"/>
      <c r="BV52" s="267"/>
      <c r="BW52" s="509" t="s">
        <v>201</v>
      </c>
      <c r="BX52" s="511"/>
      <c r="BY52" s="268" t="s">
        <v>202</v>
      </c>
      <c r="BZ52" s="509"/>
      <c r="CA52" s="510"/>
      <c r="CB52" s="269" t="s">
        <v>201</v>
      </c>
      <c r="CC52" s="270" t="s">
        <v>194</v>
      </c>
      <c r="CD52" s="502"/>
      <c r="CE52" s="506"/>
      <c r="CF52" s="507"/>
      <c r="CG52" s="508"/>
    </row>
    <row r="53" spans="2:85" ht="12.75" customHeight="1">
      <c r="B53" s="127"/>
      <c r="C53" s="176" t="s">
        <v>150</v>
      </c>
      <c r="D53" s="176">
        <f t="shared" si="12"/>
        <v>0</v>
      </c>
      <c r="E53" s="176">
        <f t="shared" si="12"/>
        <v>0</v>
      </c>
      <c r="F53" s="176">
        <f t="shared" si="12"/>
        <v>0</v>
      </c>
      <c r="G53" s="218"/>
      <c r="H53" s="218"/>
      <c r="I53" s="218"/>
      <c r="J53" s="218"/>
      <c r="K53" s="218"/>
      <c r="L53" s="218"/>
      <c r="M53" s="218"/>
      <c r="N53" s="218"/>
      <c r="O53" s="218"/>
      <c r="P53" s="218"/>
      <c r="Q53" s="218"/>
      <c r="R53" s="218"/>
      <c r="S53" s="58" t="s">
        <v>154</v>
      </c>
      <c r="T53" s="202"/>
      <c r="U53" s="203"/>
      <c r="V53" s="202"/>
      <c r="W53" s="203"/>
      <c r="X53" s="203"/>
      <c r="AE53" s="85"/>
      <c r="AF53" s="86"/>
      <c r="AG53" s="91"/>
      <c r="AH53" s="91"/>
      <c r="AI53" s="544"/>
      <c r="AJ53" s="545"/>
      <c r="AK53" s="91"/>
      <c r="AL53" s="92"/>
      <c r="AM53" s="94"/>
      <c r="AN53" s="95"/>
      <c r="AO53" s="544">
        <f>AO13</f>
        <v>0</v>
      </c>
      <c r="AP53" s="545"/>
      <c r="AQ53" s="96"/>
      <c r="AR53" s="93"/>
      <c r="AS53" s="1"/>
      <c r="AT53" s="486" t="str">
        <f>AT13</f>
        <v>学力アップ</v>
      </c>
      <c r="AU53" s="487"/>
      <c r="AV53" s="488"/>
      <c r="BP53" s="316"/>
      <c r="BQ53" s="272"/>
      <c r="BR53" s="273"/>
      <c r="BS53" s="273"/>
      <c r="BT53" s="497"/>
      <c r="BU53" s="498"/>
      <c r="BV53" s="273"/>
      <c r="BW53" s="274"/>
      <c r="BX53" s="276"/>
      <c r="BY53" s="277"/>
      <c r="BZ53" s="497"/>
      <c r="CA53" s="498"/>
      <c r="CB53" s="278"/>
      <c r="CC53" s="275"/>
      <c r="CD53" s="307"/>
      <c r="CE53" s="317">
        <v>0</v>
      </c>
      <c r="CF53" s="318"/>
      <c r="CG53" s="319"/>
    </row>
    <row r="54" spans="2:85" ht="12.75" customHeight="1">
      <c r="B54" s="128"/>
      <c r="C54" s="134">
        <f>SUM(G54:R54)</f>
        <v>0</v>
      </c>
      <c r="D54" s="134">
        <f t="shared" si="12"/>
        <v>0</v>
      </c>
      <c r="E54" s="134">
        <f t="shared" si="12"/>
        <v>0</v>
      </c>
      <c r="F54" s="134">
        <f t="shared" si="12"/>
        <v>0</v>
      </c>
      <c r="G54" s="128">
        <f aca="true" t="shared" si="14" ref="G54:R54">IF(G53=1,+$S$9*G52,0)</f>
        <v>0</v>
      </c>
      <c r="H54" s="128">
        <f t="shared" si="14"/>
        <v>0</v>
      </c>
      <c r="I54" s="128">
        <f t="shared" si="14"/>
        <v>0</v>
      </c>
      <c r="J54" s="128">
        <f t="shared" si="14"/>
        <v>0</v>
      </c>
      <c r="K54" s="128">
        <f t="shared" si="14"/>
        <v>0</v>
      </c>
      <c r="L54" s="128">
        <f t="shared" si="14"/>
        <v>0</v>
      </c>
      <c r="M54" s="128">
        <f t="shared" si="14"/>
        <v>0</v>
      </c>
      <c r="N54" s="128">
        <f t="shared" si="14"/>
        <v>0</v>
      </c>
      <c r="O54" s="128">
        <f t="shared" si="14"/>
        <v>0</v>
      </c>
      <c r="P54" s="128">
        <f t="shared" si="14"/>
        <v>0</v>
      </c>
      <c r="Q54" s="128">
        <f t="shared" si="14"/>
        <v>0</v>
      </c>
      <c r="R54" s="128">
        <f t="shared" si="14"/>
        <v>0</v>
      </c>
      <c r="AE54" s="87" t="str">
        <f>AE14</f>
        <v>非常勤</v>
      </c>
      <c r="AF54" s="574" t="str">
        <f>+AF15</f>
        <v>京築　太郎</v>
      </c>
      <c r="AG54" s="97"/>
      <c r="AH54" s="97"/>
      <c r="AI54" s="530"/>
      <c r="AJ54" s="531"/>
      <c r="AK54" s="97"/>
      <c r="AL54" s="98"/>
      <c r="AM54" s="100"/>
      <c r="AN54" s="101"/>
      <c r="AO54" s="530">
        <f aca="true" t="shared" si="15" ref="AO54:AO80">AO14</f>
        <v>15</v>
      </c>
      <c r="AP54" s="531"/>
      <c r="AQ54" s="102"/>
      <c r="AR54" s="99"/>
      <c r="AS54" s="3"/>
      <c r="AT54" s="20">
        <f>AT14</f>
        <v>40274</v>
      </c>
      <c r="AU54" s="16" t="str">
        <f>AU14</f>
        <v>～</v>
      </c>
      <c r="AV54" s="21">
        <f>AV14</f>
        <v>40379</v>
      </c>
      <c r="BP54" s="320" t="s">
        <v>170</v>
      </c>
      <c r="BQ54" s="479">
        <v>0</v>
      </c>
      <c r="BR54" s="284"/>
      <c r="BS54" s="284"/>
      <c r="BT54" s="481"/>
      <c r="BU54" s="482"/>
      <c r="BV54" s="284"/>
      <c r="BW54" s="285"/>
      <c r="BX54" s="287"/>
      <c r="BY54" s="288"/>
      <c r="BZ54" s="481"/>
      <c r="CA54" s="482"/>
      <c r="CB54" s="289"/>
      <c r="CC54" s="286"/>
      <c r="CD54" s="259"/>
      <c r="CE54" s="321">
        <v>0</v>
      </c>
      <c r="CF54" s="314" t="b">
        <v>0</v>
      </c>
      <c r="CG54" s="322">
        <v>0</v>
      </c>
    </row>
    <row r="55" spans="31:85" ht="12.75" customHeight="1">
      <c r="AE55" s="87" t="str">
        <f>AE15</f>
        <v>講　師</v>
      </c>
      <c r="AF55" s="575"/>
      <c r="AG55" s="97"/>
      <c r="AH55" s="97">
        <f>AH15</f>
        <v>0</v>
      </c>
      <c r="AI55" s="530"/>
      <c r="AJ55" s="531"/>
      <c r="AK55" s="97"/>
      <c r="AL55" s="98"/>
      <c r="AM55" s="100"/>
      <c r="AN55" s="101"/>
      <c r="AO55" s="530">
        <f t="shared" si="15"/>
        <v>86</v>
      </c>
      <c r="AP55" s="531"/>
      <c r="AQ55" s="102"/>
      <c r="AR55" s="99"/>
      <c r="AS55" s="3"/>
      <c r="AT55" s="19">
        <f>AT15</f>
      </c>
      <c r="AU55" s="16">
        <f>AU15</f>
      </c>
      <c r="AV55" s="73">
        <f>AV15</f>
      </c>
      <c r="BP55" s="320" t="s">
        <v>171</v>
      </c>
      <c r="BQ55" s="480"/>
      <c r="BR55" s="284"/>
      <c r="BS55" s="284">
        <v>0</v>
      </c>
      <c r="BT55" s="481"/>
      <c r="BU55" s="482"/>
      <c r="BV55" s="284"/>
      <c r="BW55" s="285"/>
      <c r="BX55" s="287"/>
      <c r="BY55" s="288"/>
      <c r="BZ55" s="481"/>
      <c r="CA55" s="482"/>
      <c r="CB55" s="289"/>
      <c r="CC55" s="286"/>
      <c r="CD55" s="259"/>
      <c r="CE55" s="323" t="s">
        <v>172</v>
      </c>
      <c r="CF55" s="314" t="s">
        <v>172</v>
      </c>
      <c r="CG55" s="342" t="s">
        <v>172</v>
      </c>
    </row>
    <row r="56" spans="31:85" ht="12.75" customHeight="1">
      <c r="AE56" s="87"/>
      <c r="AF56" s="80"/>
      <c r="AG56" s="103"/>
      <c r="AH56" s="103">
        <f aca="true" t="shared" si="16" ref="AH56:AV56">AH16</f>
        <v>28800</v>
      </c>
      <c r="AI56" s="530"/>
      <c r="AJ56" s="531"/>
      <c r="AK56" s="103"/>
      <c r="AL56" s="532">
        <f>AL16</f>
        <v>28800</v>
      </c>
      <c r="AM56" s="533"/>
      <c r="AN56" s="108">
        <f t="shared" si="16"/>
        <v>879</v>
      </c>
      <c r="AO56" s="530">
        <f t="shared" si="15"/>
        <v>0</v>
      </c>
      <c r="AP56" s="531"/>
      <c r="AQ56" s="106">
        <f t="shared" si="16"/>
        <v>980</v>
      </c>
      <c r="AR56" s="107">
        <f t="shared" si="16"/>
        <v>27820</v>
      </c>
      <c r="AS56" s="2"/>
      <c r="AT56" s="61">
        <f t="shared" si="16"/>
        <v>2400</v>
      </c>
      <c r="AU56" s="17" t="str">
        <f t="shared" si="16"/>
        <v>×</v>
      </c>
      <c r="AV56" s="72">
        <f t="shared" si="16"/>
        <v>12</v>
      </c>
      <c r="BP56" s="320"/>
      <c r="BQ56" s="266"/>
      <c r="BR56" s="297"/>
      <c r="BS56" s="297">
        <v>0</v>
      </c>
      <c r="BT56" s="481"/>
      <c r="BU56" s="482"/>
      <c r="BV56" s="297"/>
      <c r="BW56" s="489">
        <v>0</v>
      </c>
      <c r="BX56" s="490"/>
      <c r="BY56" s="304">
        <v>0</v>
      </c>
      <c r="BZ56" s="481"/>
      <c r="CA56" s="482"/>
      <c r="CB56" s="300">
        <v>0</v>
      </c>
      <c r="CC56" s="301">
        <v>0</v>
      </c>
      <c r="CD56" s="260"/>
      <c r="CE56" s="343">
        <v>2380</v>
      </c>
      <c r="CF56" s="327" t="s">
        <v>173</v>
      </c>
      <c r="CG56" s="344">
        <v>0</v>
      </c>
    </row>
    <row r="57" spans="31:85" ht="12.75" customHeight="1">
      <c r="AE57" s="85"/>
      <c r="AF57" s="86"/>
      <c r="AG57" s="91"/>
      <c r="AH57" s="91"/>
      <c r="AI57" s="544"/>
      <c r="AJ57" s="545"/>
      <c r="AK57" s="91"/>
      <c r="AL57" s="92"/>
      <c r="AM57" s="94"/>
      <c r="AN57" s="95"/>
      <c r="AO57" s="544">
        <f t="shared" si="15"/>
        <v>0</v>
      </c>
      <c r="AP57" s="545"/>
      <c r="AQ57" s="96"/>
      <c r="AR57" s="93"/>
      <c r="AS57" s="1"/>
      <c r="AT57" s="4">
        <f>AT17</f>
      </c>
      <c r="AU57" s="12"/>
      <c r="AV57" s="11"/>
      <c r="BP57" s="316"/>
      <c r="BQ57" s="272"/>
      <c r="BR57" s="273"/>
      <c r="BS57" s="273"/>
      <c r="BT57" s="497"/>
      <c r="BU57" s="498"/>
      <c r="BV57" s="273"/>
      <c r="BW57" s="274"/>
      <c r="BX57" s="276"/>
      <c r="BY57" s="277"/>
      <c r="BZ57" s="497"/>
      <c r="CA57" s="498"/>
      <c r="CB57" s="278"/>
      <c r="CC57" s="275"/>
      <c r="CD57" s="307"/>
      <c r="CE57" s="317" t="s">
        <v>172</v>
      </c>
      <c r="CF57" s="318"/>
      <c r="CG57" s="319"/>
    </row>
    <row r="58" spans="31:85" ht="12.75" customHeight="1">
      <c r="AE58" s="87">
        <f>AE18</f>
      </c>
      <c r="AF58" s="574">
        <f>+AF19</f>
      </c>
      <c r="AG58" s="97"/>
      <c r="AH58" s="97"/>
      <c r="AI58" s="530"/>
      <c r="AJ58" s="531"/>
      <c r="AK58" s="97"/>
      <c r="AL58" s="98"/>
      <c r="AM58" s="100"/>
      <c r="AN58" s="101"/>
      <c r="AO58" s="530">
        <f t="shared" si="15"/>
        <v>0</v>
      </c>
      <c r="AP58" s="531"/>
      <c r="AQ58" s="102"/>
      <c r="AR58" s="99"/>
      <c r="AS58" s="3"/>
      <c r="AT58" s="20">
        <f>AT18</f>
      </c>
      <c r="AU58" s="16">
        <f>AU18</f>
      </c>
      <c r="AV58" s="21">
        <f>AV18</f>
      </c>
      <c r="BP58" s="320" t="s">
        <v>172</v>
      </c>
      <c r="BQ58" s="479" t="s">
        <v>172</v>
      </c>
      <c r="BR58" s="284"/>
      <c r="BS58" s="284"/>
      <c r="BT58" s="481"/>
      <c r="BU58" s="482"/>
      <c r="BV58" s="284"/>
      <c r="BW58" s="285"/>
      <c r="BX58" s="287"/>
      <c r="BY58" s="288"/>
      <c r="BZ58" s="481"/>
      <c r="CA58" s="482"/>
      <c r="CB58" s="289"/>
      <c r="CC58" s="286"/>
      <c r="CD58" s="259"/>
      <c r="CE58" s="321" t="s">
        <v>172</v>
      </c>
      <c r="CF58" s="314" t="s">
        <v>172</v>
      </c>
      <c r="CG58" s="322" t="s">
        <v>172</v>
      </c>
    </row>
    <row r="59" spans="31:85" ht="12.75" customHeight="1">
      <c r="AE59" s="87">
        <f>AE19</f>
      </c>
      <c r="AF59" s="575"/>
      <c r="AG59" s="97"/>
      <c r="AH59" s="97">
        <f>AH19</f>
      </c>
      <c r="AI59" s="530"/>
      <c r="AJ59" s="531"/>
      <c r="AK59" s="97"/>
      <c r="AL59" s="98"/>
      <c r="AM59" s="100"/>
      <c r="AN59" s="101"/>
      <c r="AO59" s="530">
        <f t="shared" si="15"/>
      </c>
      <c r="AP59" s="531"/>
      <c r="AQ59" s="102"/>
      <c r="AR59" s="99"/>
      <c r="AS59" s="3"/>
      <c r="AT59" s="19">
        <f>AT19</f>
      </c>
      <c r="AU59" s="16">
        <f>AU19</f>
      </c>
      <c r="AV59" s="73">
        <f>AV19</f>
      </c>
      <c r="BP59" s="320" t="s">
        <v>172</v>
      </c>
      <c r="BQ59" s="480"/>
      <c r="BR59" s="284"/>
      <c r="BS59" s="284" t="s">
        <v>172</v>
      </c>
      <c r="BT59" s="481"/>
      <c r="BU59" s="482"/>
      <c r="BV59" s="284"/>
      <c r="BW59" s="285"/>
      <c r="BX59" s="287"/>
      <c r="BY59" s="288"/>
      <c r="BZ59" s="481"/>
      <c r="CA59" s="482"/>
      <c r="CB59" s="289"/>
      <c r="CC59" s="286"/>
      <c r="CD59" s="259"/>
      <c r="CE59" s="323" t="s">
        <v>172</v>
      </c>
      <c r="CF59" s="314" t="s">
        <v>172</v>
      </c>
      <c r="CG59" s="342" t="s">
        <v>172</v>
      </c>
    </row>
    <row r="60" spans="1:85" ht="12.75" customHeight="1">
      <c r="A60" s="5"/>
      <c r="B60" s="153"/>
      <c r="C60" s="152"/>
      <c r="D60" s="152"/>
      <c r="E60" s="152"/>
      <c r="F60" s="152"/>
      <c r="G60" s="152"/>
      <c r="H60" s="152"/>
      <c r="I60" s="152"/>
      <c r="J60" s="152"/>
      <c r="K60" s="152"/>
      <c r="L60" s="152"/>
      <c r="M60" s="152"/>
      <c r="N60" s="152"/>
      <c r="O60" s="152"/>
      <c r="P60" s="152"/>
      <c r="Q60" s="152"/>
      <c r="R60" s="152"/>
      <c r="AE60" s="87"/>
      <c r="AF60" s="80"/>
      <c r="AG60" s="103"/>
      <c r="AH60" s="103">
        <f aca="true" t="shared" si="17" ref="AH60:AV60">AH20</f>
      </c>
      <c r="AI60" s="530"/>
      <c r="AJ60" s="531"/>
      <c r="AK60" s="103"/>
      <c r="AL60" s="532">
        <f t="shared" si="17"/>
        <v>0</v>
      </c>
      <c r="AM60" s="533"/>
      <c r="AN60" s="108">
        <f t="shared" si="17"/>
      </c>
      <c r="AO60" s="530">
        <f t="shared" si="15"/>
        <v>0</v>
      </c>
      <c r="AP60" s="531"/>
      <c r="AQ60" s="106">
        <f t="shared" si="17"/>
        <v>0</v>
      </c>
      <c r="AR60" s="107">
        <f t="shared" si="17"/>
      </c>
      <c r="AS60" s="2"/>
      <c r="AT60" s="61">
        <f t="shared" si="17"/>
      </c>
      <c r="AU60" s="17">
        <f t="shared" si="17"/>
      </c>
      <c r="AV60" s="72">
        <f t="shared" si="17"/>
      </c>
      <c r="BP60" s="320"/>
      <c r="BQ60" s="266"/>
      <c r="BR60" s="297"/>
      <c r="BS60" s="297" t="s">
        <v>172</v>
      </c>
      <c r="BT60" s="481"/>
      <c r="BU60" s="482"/>
      <c r="BV60" s="297"/>
      <c r="BW60" s="489" t="s">
        <v>172</v>
      </c>
      <c r="BX60" s="490"/>
      <c r="BY60" s="304" t="s">
        <v>172</v>
      </c>
      <c r="BZ60" s="481"/>
      <c r="CA60" s="482"/>
      <c r="CB60" s="300" t="s">
        <v>172</v>
      </c>
      <c r="CC60" s="301" t="s">
        <v>172</v>
      </c>
      <c r="CD60" s="260"/>
      <c r="CE60" s="343" t="s">
        <v>172</v>
      </c>
      <c r="CF60" s="327" t="s">
        <v>172</v>
      </c>
      <c r="CG60" s="344" t="s">
        <v>172</v>
      </c>
    </row>
    <row r="61" spans="1:85" ht="12.75" customHeight="1">
      <c r="A61" s="5"/>
      <c r="B61" s="153"/>
      <c r="C61" s="152"/>
      <c r="D61" s="152"/>
      <c r="E61" s="152"/>
      <c r="F61" s="152"/>
      <c r="G61" s="152"/>
      <c r="H61" s="152"/>
      <c r="I61" s="152"/>
      <c r="J61" s="152"/>
      <c r="K61" s="152"/>
      <c r="L61" s="152"/>
      <c r="M61" s="152"/>
      <c r="N61" s="152"/>
      <c r="O61" s="152"/>
      <c r="P61" s="152"/>
      <c r="Q61" s="152"/>
      <c r="R61" s="152"/>
      <c r="AE61" s="85"/>
      <c r="AF61" s="86"/>
      <c r="AG61" s="91"/>
      <c r="AH61" s="91"/>
      <c r="AI61" s="544"/>
      <c r="AJ61" s="545"/>
      <c r="AK61" s="91"/>
      <c r="AL61" s="92"/>
      <c r="AM61" s="94"/>
      <c r="AN61" s="95"/>
      <c r="AO61" s="544">
        <f t="shared" si="15"/>
        <v>0</v>
      </c>
      <c r="AP61" s="545"/>
      <c r="AQ61" s="96"/>
      <c r="AR61" s="93"/>
      <c r="AS61" s="1"/>
      <c r="AT61" s="4">
        <f>AT21</f>
      </c>
      <c r="AU61" s="12"/>
      <c r="AV61" s="11"/>
      <c r="BP61" s="316"/>
      <c r="BQ61" s="272"/>
      <c r="BR61" s="273"/>
      <c r="BS61" s="273"/>
      <c r="BT61" s="497"/>
      <c r="BU61" s="498"/>
      <c r="BV61" s="273"/>
      <c r="BW61" s="274"/>
      <c r="BX61" s="276"/>
      <c r="BY61" s="277"/>
      <c r="BZ61" s="497"/>
      <c r="CA61" s="498"/>
      <c r="CB61" s="278"/>
      <c r="CC61" s="275"/>
      <c r="CD61" s="307"/>
      <c r="CE61" s="317" t="s">
        <v>172</v>
      </c>
      <c r="CF61" s="318"/>
      <c r="CG61" s="319"/>
    </row>
    <row r="62" spans="1:85" ht="12.75" customHeight="1">
      <c r="A62" s="5"/>
      <c r="B62" s="153"/>
      <c r="C62" s="152"/>
      <c r="D62" s="152"/>
      <c r="E62" s="152"/>
      <c r="F62" s="152"/>
      <c r="G62" s="152"/>
      <c r="H62" s="152"/>
      <c r="I62" s="152"/>
      <c r="J62" s="152"/>
      <c r="K62" s="152"/>
      <c r="L62" s="152"/>
      <c r="M62" s="152"/>
      <c r="N62" s="152"/>
      <c r="O62" s="152"/>
      <c r="P62" s="152"/>
      <c r="Q62" s="152"/>
      <c r="R62" s="152"/>
      <c r="AE62" s="87">
        <f>AE22</f>
      </c>
      <c r="AF62" s="574">
        <f>+AF23</f>
      </c>
      <c r="AG62" s="97"/>
      <c r="AH62" s="97"/>
      <c r="AI62" s="530"/>
      <c r="AJ62" s="531"/>
      <c r="AK62" s="97"/>
      <c r="AL62" s="98"/>
      <c r="AM62" s="100"/>
      <c r="AN62" s="101"/>
      <c r="AO62" s="530">
        <f t="shared" si="15"/>
        <v>0</v>
      </c>
      <c r="AP62" s="531"/>
      <c r="AQ62" s="102"/>
      <c r="AR62" s="99"/>
      <c r="AS62" s="3"/>
      <c r="AT62" s="20">
        <f>AT22</f>
      </c>
      <c r="AU62" s="16">
        <f>AU22</f>
      </c>
      <c r="AV62" s="21">
        <f>AV22</f>
      </c>
      <c r="BP62" s="320" t="s">
        <v>172</v>
      </c>
      <c r="BQ62" s="479" t="s">
        <v>172</v>
      </c>
      <c r="BR62" s="284"/>
      <c r="BS62" s="284"/>
      <c r="BT62" s="481"/>
      <c r="BU62" s="482"/>
      <c r="BV62" s="284"/>
      <c r="BW62" s="285"/>
      <c r="BX62" s="287"/>
      <c r="BY62" s="288"/>
      <c r="BZ62" s="481"/>
      <c r="CA62" s="482"/>
      <c r="CB62" s="289"/>
      <c r="CC62" s="286"/>
      <c r="CD62" s="259"/>
      <c r="CE62" s="321" t="s">
        <v>172</v>
      </c>
      <c r="CF62" s="314" t="s">
        <v>172</v>
      </c>
      <c r="CG62" s="322" t="s">
        <v>172</v>
      </c>
    </row>
    <row r="63" spans="1:85" ht="12.75" customHeight="1">
      <c r="A63" s="5"/>
      <c r="B63" s="152"/>
      <c r="C63" s="152"/>
      <c r="D63" s="152"/>
      <c r="E63" s="152"/>
      <c r="F63" s="152"/>
      <c r="G63" s="152"/>
      <c r="H63" s="152"/>
      <c r="I63" s="152"/>
      <c r="J63" s="152"/>
      <c r="K63" s="152"/>
      <c r="L63" s="152"/>
      <c r="M63" s="152"/>
      <c r="N63" s="152"/>
      <c r="O63" s="152"/>
      <c r="P63" s="152"/>
      <c r="Q63" s="152"/>
      <c r="R63" s="152"/>
      <c r="AE63" s="87">
        <f>AE23</f>
      </c>
      <c r="AF63" s="575"/>
      <c r="AG63" s="97"/>
      <c r="AH63" s="97">
        <f>AH23</f>
      </c>
      <c r="AI63" s="530"/>
      <c r="AJ63" s="531"/>
      <c r="AK63" s="97"/>
      <c r="AL63" s="98"/>
      <c r="AM63" s="100"/>
      <c r="AN63" s="101"/>
      <c r="AO63" s="530">
        <f t="shared" si="15"/>
      </c>
      <c r="AP63" s="531"/>
      <c r="AQ63" s="102"/>
      <c r="AR63" s="99"/>
      <c r="AS63" s="3"/>
      <c r="AT63" s="19">
        <f>AT23</f>
      </c>
      <c r="AU63" s="16">
        <f>AU23</f>
      </c>
      <c r="AV63" s="73">
        <f>AV23</f>
      </c>
      <c r="BP63" s="320" t="s">
        <v>172</v>
      </c>
      <c r="BQ63" s="480"/>
      <c r="BR63" s="284"/>
      <c r="BS63" s="284" t="s">
        <v>172</v>
      </c>
      <c r="BT63" s="481"/>
      <c r="BU63" s="482"/>
      <c r="BV63" s="284"/>
      <c r="BW63" s="285"/>
      <c r="BX63" s="287"/>
      <c r="BY63" s="288"/>
      <c r="BZ63" s="481"/>
      <c r="CA63" s="482"/>
      <c r="CB63" s="289"/>
      <c r="CC63" s="286"/>
      <c r="CD63" s="259"/>
      <c r="CE63" s="323" t="s">
        <v>172</v>
      </c>
      <c r="CF63" s="314" t="s">
        <v>172</v>
      </c>
      <c r="CG63" s="342" t="s">
        <v>172</v>
      </c>
    </row>
    <row r="64" spans="1:85" ht="12.75" customHeight="1">
      <c r="A64" s="36"/>
      <c r="B64" s="152"/>
      <c r="C64" s="152"/>
      <c r="D64" s="152"/>
      <c r="E64" s="152"/>
      <c r="F64" s="152"/>
      <c r="G64" s="152"/>
      <c r="H64" s="152"/>
      <c r="I64" s="152"/>
      <c r="J64" s="152"/>
      <c r="K64" s="152"/>
      <c r="L64" s="152"/>
      <c r="M64" s="152"/>
      <c r="N64" s="152"/>
      <c r="O64" s="152"/>
      <c r="P64" s="152"/>
      <c r="Q64" s="152"/>
      <c r="R64" s="152"/>
      <c r="AE64" s="87"/>
      <c r="AF64" s="80"/>
      <c r="AG64" s="103"/>
      <c r="AH64" s="103">
        <f aca="true" t="shared" si="18" ref="AH64:AV64">AH24</f>
      </c>
      <c r="AI64" s="530"/>
      <c r="AJ64" s="531"/>
      <c r="AK64" s="103"/>
      <c r="AL64" s="532">
        <f t="shared" si="18"/>
        <v>0</v>
      </c>
      <c r="AM64" s="533"/>
      <c r="AN64" s="108">
        <f t="shared" si="18"/>
      </c>
      <c r="AO64" s="530">
        <f t="shared" si="15"/>
        <v>0</v>
      </c>
      <c r="AP64" s="531"/>
      <c r="AQ64" s="106">
        <f t="shared" si="18"/>
        <v>0</v>
      </c>
      <c r="AR64" s="107">
        <f t="shared" si="18"/>
      </c>
      <c r="AS64" s="2"/>
      <c r="AT64" s="61">
        <f t="shared" si="18"/>
      </c>
      <c r="AU64" s="17">
        <f t="shared" si="18"/>
      </c>
      <c r="AV64" s="72">
        <f t="shared" si="18"/>
      </c>
      <c r="BP64" s="320"/>
      <c r="BQ64" s="266"/>
      <c r="BR64" s="297"/>
      <c r="BS64" s="297" t="s">
        <v>172</v>
      </c>
      <c r="BT64" s="481"/>
      <c r="BU64" s="482"/>
      <c r="BV64" s="297"/>
      <c r="BW64" s="489" t="s">
        <v>172</v>
      </c>
      <c r="BX64" s="490"/>
      <c r="BY64" s="304" t="s">
        <v>172</v>
      </c>
      <c r="BZ64" s="481"/>
      <c r="CA64" s="482"/>
      <c r="CB64" s="300" t="s">
        <v>172</v>
      </c>
      <c r="CC64" s="301" t="s">
        <v>172</v>
      </c>
      <c r="CD64" s="260"/>
      <c r="CE64" s="343" t="s">
        <v>172</v>
      </c>
      <c r="CF64" s="327" t="s">
        <v>172</v>
      </c>
      <c r="CG64" s="344" t="s">
        <v>172</v>
      </c>
    </row>
    <row r="65" spans="1:85" ht="12.75" customHeight="1">
      <c r="A65" s="36"/>
      <c r="B65" s="152"/>
      <c r="C65" s="152"/>
      <c r="D65" s="152"/>
      <c r="E65" s="152"/>
      <c r="F65" s="152"/>
      <c r="G65" s="152"/>
      <c r="H65" s="152"/>
      <c r="I65" s="152"/>
      <c r="J65" s="152"/>
      <c r="K65" s="152"/>
      <c r="L65" s="152"/>
      <c r="M65" s="152"/>
      <c r="N65" s="152"/>
      <c r="O65" s="152"/>
      <c r="P65" s="152"/>
      <c r="Q65" s="152"/>
      <c r="R65" s="152"/>
      <c r="AE65" s="85"/>
      <c r="AF65" s="86"/>
      <c r="AG65" s="91"/>
      <c r="AH65" s="91"/>
      <c r="AI65" s="544"/>
      <c r="AJ65" s="545"/>
      <c r="AK65" s="91"/>
      <c r="AL65" s="92"/>
      <c r="AM65" s="94"/>
      <c r="AN65" s="95"/>
      <c r="AO65" s="544">
        <f t="shared" si="15"/>
        <v>0</v>
      </c>
      <c r="AP65" s="545"/>
      <c r="AQ65" s="96"/>
      <c r="AR65" s="93"/>
      <c r="AS65" s="1"/>
      <c r="AT65" s="4">
        <f aca="true" t="shared" si="19" ref="AT65:AT72">AT25</f>
      </c>
      <c r="AU65" s="12"/>
      <c r="AV65" s="11"/>
      <c r="BP65" s="316"/>
      <c r="BQ65" s="272"/>
      <c r="BR65" s="273"/>
      <c r="BS65" s="273"/>
      <c r="BT65" s="497"/>
      <c r="BU65" s="498"/>
      <c r="BV65" s="273"/>
      <c r="BW65" s="274"/>
      <c r="BX65" s="276"/>
      <c r="BY65" s="277"/>
      <c r="BZ65" s="497"/>
      <c r="CA65" s="498"/>
      <c r="CB65" s="278"/>
      <c r="CC65" s="275"/>
      <c r="CD65" s="307"/>
      <c r="CE65" s="317" t="s">
        <v>172</v>
      </c>
      <c r="CF65" s="318"/>
      <c r="CG65" s="319"/>
    </row>
    <row r="66" spans="1:85" ht="12.75" customHeight="1">
      <c r="A66" s="36"/>
      <c r="B66" s="152"/>
      <c r="C66" s="152"/>
      <c r="D66" s="152"/>
      <c r="E66" s="152"/>
      <c r="F66" s="152"/>
      <c r="G66" s="152"/>
      <c r="H66" s="152"/>
      <c r="I66" s="152"/>
      <c r="J66" s="152"/>
      <c r="K66" s="152"/>
      <c r="L66" s="152"/>
      <c r="M66" s="152"/>
      <c r="N66" s="152"/>
      <c r="O66" s="152"/>
      <c r="P66" s="152"/>
      <c r="Q66" s="152"/>
      <c r="R66" s="152"/>
      <c r="AE66" s="87">
        <f>AE26</f>
      </c>
      <c r="AF66" s="574">
        <f>+AF27</f>
      </c>
      <c r="AG66" s="97"/>
      <c r="AH66" s="97"/>
      <c r="AI66" s="530"/>
      <c r="AJ66" s="531"/>
      <c r="AK66" s="97"/>
      <c r="AL66" s="98"/>
      <c r="AM66" s="100"/>
      <c r="AN66" s="101"/>
      <c r="AO66" s="530">
        <f t="shared" si="15"/>
        <v>0</v>
      </c>
      <c r="AP66" s="531"/>
      <c r="AQ66" s="102"/>
      <c r="AR66" s="99"/>
      <c r="AS66" s="3"/>
      <c r="AT66" s="20">
        <f t="shared" si="19"/>
      </c>
      <c r="AU66" s="16">
        <f aca="true" t="shared" si="20" ref="AU66:AV68">AU26</f>
      </c>
      <c r="AV66" s="21">
        <f t="shared" si="20"/>
      </c>
      <c r="BP66" s="320" t="s">
        <v>172</v>
      </c>
      <c r="BQ66" s="479" t="s">
        <v>172</v>
      </c>
      <c r="BR66" s="284"/>
      <c r="BS66" s="284"/>
      <c r="BT66" s="481"/>
      <c r="BU66" s="482"/>
      <c r="BV66" s="284"/>
      <c r="BW66" s="285"/>
      <c r="BX66" s="287"/>
      <c r="BY66" s="288"/>
      <c r="BZ66" s="481"/>
      <c r="CA66" s="482"/>
      <c r="CB66" s="289"/>
      <c r="CC66" s="286"/>
      <c r="CD66" s="259"/>
      <c r="CE66" s="321" t="s">
        <v>172</v>
      </c>
      <c r="CF66" s="314" t="s">
        <v>172</v>
      </c>
      <c r="CG66" s="322" t="s">
        <v>172</v>
      </c>
    </row>
    <row r="67" spans="1:85" ht="12.75" customHeight="1">
      <c r="A67" s="36"/>
      <c r="B67" s="152"/>
      <c r="C67" s="152"/>
      <c r="D67" s="152"/>
      <c r="E67" s="152"/>
      <c r="F67" s="152"/>
      <c r="G67" s="152"/>
      <c r="H67" s="152"/>
      <c r="I67" s="152"/>
      <c r="J67" s="152"/>
      <c r="K67" s="152"/>
      <c r="L67" s="152"/>
      <c r="M67" s="152"/>
      <c r="N67" s="152"/>
      <c r="O67" s="152"/>
      <c r="P67" s="152"/>
      <c r="Q67" s="152"/>
      <c r="R67" s="152"/>
      <c r="AE67" s="87">
        <f>AE27</f>
      </c>
      <c r="AF67" s="575"/>
      <c r="AG67" s="97"/>
      <c r="AH67" s="97">
        <f>AH27</f>
      </c>
      <c r="AI67" s="530"/>
      <c r="AJ67" s="531"/>
      <c r="AK67" s="97"/>
      <c r="AL67" s="98"/>
      <c r="AM67" s="100"/>
      <c r="AN67" s="101"/>
      <c r="AO67" s="530">
        <f t="shared" si="15"/>
      </c>
      <c r="AP67" s="531"/>
      <c r="AQ67" s="102"/>
      <c r="AR67" s="99"/>
      <c r="AS67" s="3"/>
      <c r="AT67" s="19">
        <f t="shared" si="19"/>
      </c>
      <c r="AU67" s="16">
        <f t="shared" si="20"/>
      </c>
      <c r="AV67" s="73">
        <f t="shared" si="20"/>
      </c>
      <c r="BP67" s="320" t="s">
        <v>172</v>
      </c>
      <c r="BQ67" s="480"/>
      <c r="BR67" s="284"/>
      <c r="BS67" s="284" t="s">
        <v>172</v>
      </c>
      <c r="BT67" s="481"/>
      <c r="BU67" s="482"/>
      <c r="BV67" s="284"/>
      <c r="BW67" s="285"/>
      <c r="BX67" s="287"/>
      <c r="BY67" s="288"/>
      <c r="BZ67" s="481"/>
      <c r="CA67" s="482"/>
      <c r="CB67" s="289"/>
      <c r="CC67" s="286"/>
      <c r="CD67" s="259"/>
      <c r="CE67" s="323" t="s">
        <v>172</v>
      </c>
      <c r="CF67" s="314" t="s">
        <v>172</v>
      </c>
      <c r="CG67" s="342" t="s">
        <v>172</v>
      </c>
    </row>
    <row r="68" spans="1:85" ht="12.75" customHeight="1">
      <c r="A68" s="36"/>
      <c r="B68" s="152"/>
      <c r="C68" s="152"/>
      <c r="D68" s="152"/>
      <c r="E68" s="152"/>
      <c r="F68" s="152"/>
      <c r="G68" s="152"/>
      <c r="H68" s="152"/>
      <c r="I68" s="152"/>
      <c r="J68" s="152"/>
      <c r="K68" s="152"/>
      <c r="L68" s="152"/>
      <c r="M68" s="152"/>
      <c r="N68" s="152"/>
      <c r="O68" s="152"/>
      <c r="P68" s="152"/>
      <c r="Q68" s="152"/>
      <c r="R68" s="152"/>
      <c r="AE68" s="87"/>
      <c r="AF68" s="80"/>
      <c r="AG68" s="103"/>
      <c r="AH68" s="103">
        <f>AH28</f>
      </c>
      <c r="AI68" s="530"/>
      <c r="AJ68" s="531"/>
      <c r="AK68" s="103"/>
      <c r="AL68" s="532">
        <f>AL28</f>
        <v>0</v>
      </c>
      <c r="AM68" s="533"/>
      <c r="AN68" s="108">
        <f>AN28</f>
      </c>
      <c r="AO68" s="530">
        <f t="shared" si="15"/>
        <v>0</v>
      </c>
      <c r="AP68" s="531"/>
      <c r="AQ68" s="106">
        <f>AQ28</f>
        <v>0</v>
      </c>
      <c r="AR68" s="107">
        <f>AR28</f>
      </c>
      <c r="AS68" s="2"/>
      <c r="AT68" s="61">
        <f t="shared" si="19"/>
      </c>
      <c r="AU68" s="17">
        <f t="shared" si="20"/>
      </c>
      <c r="AV68" s="72">
        <f t="shared" si="20"/>
      </c>
      <c r="BP68" s="320"/>
      <c r="BQ68" s="266"/>
      <c r="BR68" s="297"/>
      <c r="BS68" s="297" t="s">
        <v>172</v>
      </c>
      <c r="BT68" s="481"/>
      <c r="BU68" s="482"/>
      <c r="BV68" s="297"/>
      <c r="BW68" s="489" t="s">
        <v>172</v>
      </c>
      <c r="BX68" s="490"/>
      <c r="BY68" s="304" t="s">
        <v>172</v>
      </c>
      <c r="BZ68" s="481"/>
      <c r="CA68" s="482"/>
      <c r="CB68" s="300" t="s">
        <v>172</v>
      </c>
      <c r="CC68" s="301" t="s">
        <v>172</v>
      </c>
      <c r="CD68" s="260"/>
      <c r="CE68" s="343" t="s">
        <v>172</v>
      </c>
      <c r="CF68" s="327" t="s">
        <v>172</v>
      </c>
      <c r="CG68" s="344" t="s">
        <v>172</v>
      </c>
    </row>
    <row r="69" spans="1:85" ht="12.75" customHeight="1">
      <c r="A69" s="36"/>
      <c r="B69" s="152"/>
      <c r="C69" s="152"/>
      <c r="D69" s="152"/>
      <c r="E69" s="152"/>
      <c r="F69" s="152"/>
      <c r="G69" s="152"/>
      <c r="H69" s="152"/>
      <c r="I69" s="152"/>
      <c r="J69" s="152"/>
      <c r="K69" s="152"/>
      <c r="L69" s="152"/>
      <c r="M69" s="152"/>
      <c r="N69" s="152"/>
      <c r="O69" s="152"/>
      <c r="P69" s="152"/>
      <c r="Q69" s="152"/>
      <c r="R69" s="152"/>
      <c r="AE69" s="85"/>
      <c r="AF69" s="86"/>
      <c r="AG69" s="91"/>
      <c r="AH69" s="91"/>
      <c r="AI69" s="544"/>
      <c r="AJ69" s="545"/>
      <c r="AK69" s="91"/>
      <c r="AL69" s="92"/>
      <c r="AM69" s="94"/>
      <c r="AN69" s="95"/>
      <c r="AO69" s="544">
        <f t="shared" si="15"/>
        <v>0</v>
      </c>
      <c r="AP69" s="545"/>
      <c r="AQ69" s="96"/>
      <c r="AR69" s="93"/>
      <c r="AS69" s="1"/>
      <c r="AT69" s="4">
        <f t="shared" si="19"/>
      </c>
      <c r="AU69" s="12"/>
      <c r="AV69" s="11"/>
      <c r="BP69" s="316"/>
      <c r="BQ69" s="272"/>
      <c r="BR69" s="273"/>
      <c r="BS69" s="273"/>
      <c r="BT69" s="497"/>
      <c r="BU69" s="498"/>
      <c r="BV69" s="273"/>
      <c r="BW69" s="274"/>
      <c r="BX69" s="276"/>
      <c r="BY69" s="277"/>
      <c r="BZ69" s="497"/>
      <c r="CA69" s="498"/>
      <c r="CB69" s="278"/>
      <c r="CC69" s="275"/>
      <c r="CD69" s="307"/>
      <c r="CE69" s="317" t="s">
        <v>172</v>
      </c>
      <c r="CF69" s="318"/>
      <c r="CG69" s="319"/>
    </row>
    <row r="70" spans="1:85" ht="12.75" customHeight="1">
      <c r="A70" s="36"/>
      <c r="B70" s="152"/>
      <c r="C70" s="152"/>
      <c r="D70" s="152"/>
      <c r="E70" s="152"/>
      <c r="F70" s="152"/>
      <c r="G70" s="152"/>
      <c r="H70" s="152"/>
      <c r="I70" s="152"/>
      <c r="J70" s="152"/>
      <c r="K70" s="152"/>
      <c r="L70" s="152"/>
      <c r="M70" s="152"/>
      <c r="N70" s="152"/>
      <c r="O70" s="152"/>
      <c r="P70" s="152"/>
      <c r="Q70" s="152"/>
      <c r="R70" s="152"/>
      <c r="AE70" s="87">
        <f>AE30</f>
      </c>
      <c r="AF70" s="574">
        <f>+AF31</f>
      </c>
      <c r="AG70" s="97"/>
      <c r="AH70" s="97"/>
      <c r="AI70" s="530"/>
      <c r="AJ70" s="531"/>
      <c r="AK70" s="97"/>
      <c r="AL70" s="98"/>
      <c r="AM70" s="100"/>
      <c r="AN70" s="101"/>
      <c r="AO70" s="530">
        <f t="shared" si="15"/>
        <v>0</v>
      </c>
      <c r="AP70" s="531"/>
      <c r="AQ70" s="102"/>
      <c r="AR70" s="99"/>
      <c r="AS70" s="3"/>
      <c r="AT70" s="20">
        <f t="shared" si="19"/>
      </c>
      <c r="AU70" s="16">
        <f aca="true" t="shared" si="21" ref="AU70:AV72">AU30</f>
      </c>
      <c r="AV70" s="21">
        <f t="shared" si="21"/>
      </c>
      <c r="BP70" s="320" t="s">
        <v>172</v>
      </c>
      <c r="BQ70" s="479" t="s">
        <v>172</v>
      </c>
      <c r="BR70" s="284"/>
      <c r="BS70" s="284"/>
      <c r="BT70" s="481"/>
      <c r="BU70" s="482"/>
      <c r="BV70" s="284"/>
      <c r="BW70" s="285"/>
      <c r="BX70" s="287"/>
      <c r="BY70" s="288"/>
      <c r="BZ70" s="481"/>
      <c r="CA70" s="482"/>
      <c r="CB70" s="289"/>
      <c r="CC70" s="286"/>
      <c r="CD70" s="259"/>
      <c r="CE70" s="321" t="s">
        <v>172</v>
      </c>
      <c r="CF70" s="314" t="s">
        <v>172</v>
      </c>
      <c r="CG70" s="322" t="s">
        <v>172</v>
      </c>
    </row>
    <row r="71" spans="1:85" ht="12.75" customHeight="1">
      <c r="A71" s="5"/>
      <c r="B71" s="152"/>
      <c r="C71" s="152"/>
      <c r="D71" s="152"/>
      <c r="E71" s="152"/>
      <c r="F71" s="152"/>
      <c r="G71" s="152"/>
      <c r="H71" s="152"/>
      <c r="I71" s="152"/>
      <c r="J71" s="152"/>
      <c r="K71" s="152"/>
      <c r="L71" s="152"/>
      <c r="M71" s="152"/>
      <c r="N71" s="152"/>
      <c r="O71" s="152"/>
      <c r="P71" s="152"/>
      <c r="Q71" s="152"/>
      <c r="R71" s="152"/>
      <c r="AE71" s="87">
        <f>AE31</f>
      </c>
      <c r="AF71" s="575"/>
      <c r="AG71" s="97"/>
      <c r="AH71" s="97">
        <f>AH31</f>
      </c>
      <c r="AI71" s="530"/>
      <c r="AJ71" s="531"/>
      <c r="AK71" s="97"/>
      <c r="AL71" s="98"/>
      <c r="AM71" s="100"/>
      <c r="AN71" s="101"/>
      <c r="AO71" s="530">
        <f t="shared" si="15"/>
      </c>
      <c r="AP71" s="531"/>
      <c r="AQ71" s="102"/>
      <c r="AR71" s="99"/>
      <c r="AS71" s="3"/>
      <c r="AT71" s="19">
        <f t="shared" si="19"/>
      </c>
      <c r="AU71" s="16">
        <f t="shared" si="21"/>
      </c>
      <c r="AV71" s="73">
        <f t="shared" si="21"/>
      </c>
      <c r="BP71" s="320" t="s">
        <v>172</v>
      </c>
      <c r="BQ71" s="480"/>
      <c r="BR71" s="284"/>
      <c r="BS71" s="284" t="s">
        <v>172</v>
      </c>
      <c r="BT71" s="481"/>
      <c r="BU71" s="482"/>
      <c r="BV71" s="284"/>
      <c r="BW71" s="285"/>
      <c r="BX71" s="287"/>
      <c r="BY71" s="288"/>
      <c r="BZ71" s="481"/>
      <c r="CA71" s="482"/>
      <c r="CB71" s="289"/>
      <c r="CC71" s="286"/>
      <c r="CD71" s="259"/>
      <c r="CE71" s="323" t="s">
        <v>172</v>
      </c>
      <c r="CF71" s="314" t="s">
        <v>172</v>
      </c>
      <c r="CG71" s="342" t="s">
        <v>172</v>
      </c>
    </row>
    <row r="72" spans="2:85" ht="12.75" customHeight="1">
      <c r="B72" s="152"/>
      <c r="C72" s="152"/>
      <c r="D72" s="152"/>
      <c r="E72" s="152"/>
      <c r="F72" s="152"/>
      <c r="G72" s="152"/>
      <c r="H72" s="152"/>
      <c r="I72" s="152"/>
      <c r="J72" s="152"/>
      <c r="K72" s="152"/>
      <c r="L72" s="152"/>
      <c r="M72" s="152"/>
      <c r="N72" s="152"/>
      <c r="O72" s="152"/>
      <c r="P72" s="152"/>
      <c r="Q72" s="152"/>
      <c r="R72" s="152"/>
      <c r="AE72" s="79"/>
      <c r="AF72" s="80"/>
      <c r="AG72" s="103"/>
      <c r="AH72" s="103">
        <f>AH32</f>
      </c>
      <c r="AI72" s="530"/>
      <c r="AJ72" s="531"/>
      <c r="AK72" s="103"/>
      <c r="AL72" s="532">
        <f>AL32</f>
        <v>0</v>
      </c>
      <c r="AM72" s="533"/>
      <c r="AN72" s="108">
        <f>AN32</f>
      </c>
      <c r="AO72" s="530">
        <f t="shared" si="15"/>
        <v>0</v>
      </c>
      <c r="AP72" s="531"/>
      <c r="AQ72" s="106">
        <f>AQ32</f>
        <v>0</v>
      </c>
      <c r="AR72" s="107">
        <f>AR32</f>
      </c>
      <c r="AS72" s="2"/>
      <c r="AT72" s="61">
        <f t="shared" si="19"/>
      </c>
      <c r="AU72" s="17">
        <f t="shared" si="21"/>
      </c>
      <c r="AV72" s="72">
        <f t="shared" si="21"/>
      </c>
      <c r="BP72" s="265"/>
      <c r="BQ72" s="266"/>
      <c r="BR72" s="297"/>
      <c r="BS72" s="297" t="s">
        <v>172</v>
      </c>
      <c r="BT72" s="481"/>
      <c r="BU72" s="482"/>
      <c r="BV72" s="297"/>
      <c r="BW72" s="489" t="s">
        <v>172</v>
      </c>
      <c r="BX72" s="490"/>
      <c r="BY72" s="304" t="s">
        <v>172</v>
      </c>
      <c r="BZ72" s="481"/>
      <c r="CA72" s="482"/>
      <c r="CB72" s="300" t="s">
        <v>172</v>
      </c>
      <c r="CC72" s="301" t="s">
        <v>172</v>
      </c>
      <c r="CD72" s="260"/>
      <c r="CE72" s="343" t="s">
        <v>172</v>
      </c>
      <c r="CF72" s="327" t="s">
        <v>172</v>
      </c>
      <c r="CG72" s="344" t="s">
        <v>172</v>
      </c>
    </row>
    <row r="73" spans="2:85" ht="12.75" customHeight="1">
      <c r="B73" s="152"/>
      <c r="C73" s="152"/>
      <c r="D73" s="152"/>
      <c r="E73" s="152"/>
      <c r="F73" s="152"/>
      <c r="G73" s="152"/>
      <c r="H73" s="152"/>
      <c r="I73" s="152"/>
      <c r="J73" s="152"/>
      <c r="K73" s="152"/>
      <c r="L73" s="152"/>
      <c r="M73" s="152"/>
      <c r="N73" s="152"/>
      <c r="O73" s="152"/>
      <c r="P73" s="152"/>
      <c r="Q73" s="152"/>
      <c r="R73" s="152"/>
      <c r="AE73" s="87"/>
      <c r="AF73" s="88"/>
      <c r="AG73" s="97"/>
      <c r="AH73" s="97"/>
      <c r="AI73" s="544"/>
      <c r="AJ73" s="545"/>
      <c r="AK73" s="97"/>
      <c r="AL73" s="98"/>
      <c r="AM73" s="100"/>
      <c r="AN73" s="101"/>
      <c r="AO73" s="544">
        <f t="shared" si="15"/>
        <v>0</v>
      </c>
      <c r="AP73" s="545"/>
      <c r="AQ73" s="102"/>
      <c r="AR73" s="99"/>
      <c r="AS73" s="3"/>
      <c r="AT73" s="15"/>
      <c r="AU73" s="16"/>
      <c r="AV73" s="25"/>
      <c r="BP73" s="320"/>
      <c r="BQ73" s="293"/>
      <c r="BR73" s="284"/>
      <c r="BS73" s="284"/>
      <c r="BT73" s="497"/>
      <c r="BU73" s="498"/>
      <c r="BV73" s="284"/>
      <c r="BW73" s="285"/>
      <c r="BX73" s="287"/>
      <c r="BY73" s="288"/>
      <c r="BZ73" s="497"/>
      <c r="CA73" s="498"/>
      <c r="CB73" s="289"/>
      <c r="CC73" s="286"/>
      <c r="CD73" s="259"/>
      <c r="CE73" s="313"/>
      <c r="CF73" s="314"/>
      <c r="CG73" s="315"/>
    </row>
    <row r="74" spans="2:85" ht="12.75" customHeight="1">
      <c r="B74" s="152"/>
      <c r="C74" s="152"/>
      <c r="D74" s="152"/>
      <c r="E74" s="152"/>
      <c r="F74" s="152"/>
      <c r="G74" s="152"/>
      <c r="H74" s="152"/>
      <c r="I74" s="152"/>
      <c r="J74" s="152"/>
      <c r="K74" s="152"/>
      <c r="L74" s="152"/>
      <c r="M74" s="152"/>
      <c r="N74" s="152"/>
      <c r="O74" s="152"/>
      <c r="P74" s="152"/>
      <c r="Q74" s="152"/>
      <c r="R74" s="152"/>
      <c r="AE74" s="87"/>
      <c r="AF74" s="88"/>
      <c r="AG74" s="97"/>
      <c r="AH74" s="97"/>
      <c r="AI74" s="530"/>
      <c r="AJ74" s="531"/>
      <c r="AK74" s="97"/>
      <c r="AL74" s="98"/>
      <c r="AM74" s="100"/>
      <c r="AN74" s="101"/>
      <c r="AO74" s="530">
        <f t="shared" si="15"/>
        <v>0</v>
      </c>
      <c r="AP74" s="531"/>
      <c r="AQ74" s="102"/>
      <c r="AR74" s="99"/>
      <c r="AS74" s="3"/>
      <c r="AT74" s="15"/>
      <c r="AU74" s="16"/>
      <c r="AV74" s="25"/>
      <c r="BP74" s="320"/>
      <c r="BQ74" s="293"/>
      <c r="BR74" s="284"/>
      <c r="BS74" s="284"/>
      <c r="BT74" s="481"/>
      <c r="BU74" s="482"/>
      <c r="BV74" s="284"/>
      <c r="BW74" s="285"/>
      <c r="BX74" s="287"/>
      <c r="BY74" s="288"/>
      <c r="BZ74" s="481"/>
      <c r="CA74" s="482"/>
      <c r="CB74" s="289"/>
      <c r="CC74" s="286"/>
      <c r="CD74" s="259"/>
      <c r="CE74" s="313"/>
      <c r="CF74" s="314"/>
      <c r="CG74" s="315"/>
    </row>
    <row r="75" spans="2:85" ht="12.75" customHeight="1">
      <c r="B75" s="152"/>
      <c r="C75" s="152"/>
      <c r="D75" s="152"/>
      <c r="E75" s="152"/>
      <c r="F75" s="152"/>
      <c r="G75" s="152"/>
      <c r="H75" s="152"/>
      <c r="I75" s="152"/>
      <c r="J75" s="152"/>
      <c r="K75" s="152"/>
      <c r="L75" s="152"/>
      <c r="M75" s="152"/>
      <c r="N75" s="152"/>
      <c r="O75" s="152"/>
      <c r="P75" s="152"/>
      <c r="Q75" s="152"/>
      <c r="R75" s="152"/>
      <c r="AE75" s="87"/>
      <c r="AF75" s="88"/>
      <c r="AG75" s="97"/>
      <c r="AH75" s="97"/>
      <c r="AI75" s="530"/>
      <c r="AJ75" s="531"/>
      <c r="AK75" s="97"/>
      <c r="AL75" s="98"/>
      <c r="AM75" s="100"/>
      <c r="AN75" s="101"/>
      <c r="AO75" s="530">
        <f t="shared" si="15"/>
        <v>0</v>
      </c>
      <c r="AP75" s="531"/>
      <c r="AQ75" s="102"/>
      <c r="AR75" s="99"/>
      <c r="AS75" s="3"/>
      <c r="AT75" s="15"/>
      <c r="AU75" s="16"/>
      <c r="AV75" s="25"/>
      <c r="BP75" s="320"/>
      <c r="BQ75" s="293"/>
      <c r="BR75" s="284"/>
      <c r="BS75" s="284"/>
      <c r="BT75" s="481"/>
      <c r="BU75" s="482"/>
      <c r="BV75" s="284"/>
      <c r="BW75" s="285"/>
      <c r="BX75" s="287"/>
      <c r="BY75" s="288"/>
      <c r="BZ75" s="481"/>
      <c r="CA75" s="482"/>
      <c r="CB75" s="289"/>
      <c r="CC75" s="286"/>
      <c r="CD75" s="259"/>
      <c r="CE75" s="313"/>
      <c r="CF75" s="314"/>
      <c r="CG75" s="315"/>
    </row>
    <row r="76" spans="2:85" ht="12.75" customHeight="1">
      <c r="B76" s="152"/>
      <c r="C76" s="152"/>
      <c r="D76" s="152"/>
      <c r="E76" s="152"/>
      <c r="F76" s="152"/>
      <c r="G76" s="152"/>
      <c r="H76" s="152"/>
      <c r="I76" s="152"/>
      <c r="J76" s="152"/>
      <c r="K76" s="152"/>
      <c r="L76" s="152"/>
      <c r="M76" s="152"/>
      <c r="N76" s="152"/>
      <c r="O76" s="152"/>
      <c r="P76" s="152"/>
      <c r="Q76" s="152"/>
      <c r="R76" s="152"/>
      <c r="AE76" s="87"/>
      <c r="AF76" s="88"/>
      <c r="AG76" s="97"/>
      <c r="AH76" s="97"/>
      <c r="AI76" s="530"/>
      <c r="AJ76" s="531"/>
      <c r="AK76" s="97"/>
      <c r="AL76" s="98"/>
      <c r="AM76" s="100"/>
      <c r="AN76" s="101"/>
      <c r="AO76" s="530">
        <f t="shared" si="15"/>
        <v>0</v>
      </c>
      <c r="AP76" s="531"/>
      <c r="AQ76" s="102"/>
      <c r="AR76" s="99"/>
      <c r="AS76" s="3"/>
      <c r="AT76" s="15"/>
      <c r="AU76" s="16"/>
      <c r="AV76" s="25"/>
      <c r="BP76" s="320"/>
      <c r="BQ76" s="293"/>
      <c r="BR76" s="284"/>
      <c r="BS76" s="284"/>
      <c r="BT76" s="481"/>
      <c r="BU76" s="482"/>
      <c r="BV76" s="284"/>
      <c r="BW76" s="285"/>
      <c r="BX76" s="287"/>
      <c r="BY76" s="288"/>
      <c r="BZ76" s="481"/>
      <c r="CA76" s="482"/>
      <c r="CB76" s="289"/>
      <c r="CC76" s="286"/>
      <c r="CD76" s="259"/>
      <c r="CE76" s="313"/>
      <c r="CF76" s="314"/>
      <c r="CG76" s="315"/>
    </row>
    <row r="77" spans="2:85" ht="12.75" customHeight="1">
      <c r="B77" s="152"/>
      <c r="C77" s="152"/>
      <c r="D77" s="152"/>
      <c r="E77" s="152"/>
      <c r="F77" s="152"/>
      <c r="G77" s="152"/>
      <c r="H77" s="152"/>
      <c r="I77" s="152"/>
      <c r="J77" s="152"/>
      <c r="K77" s="152"/>
      <c r="L77" s="152"/>
      <c r="M77" s="152"/>
      <c r="N77" s="152"/>
      <c r="O77" s="152"/>
      <c r="P77" s="152"/>
      <c r="Q77" s="152"/>
      <c r="R77" s="152"/>
      <c r="AE77" s="85"/>
      <c r="AF77" s="86"/>
      <c r="AG77" s="91"/>
      <c r="AH77" s="91"/>
      <c r="AI77" s="544"/>
      <c r="AJ77" s="545"/>
      <c r="AK77" s="91"/>
      <c r="AL77" s="92"/>
      <c r="AM77" s="94"/>
      <c r="AN77" s="95"/>
      <c r="AO77" s="544">
        <f t="shared" si="15"/>
        <v>0</v>
      </c>
      <c r="AP77" s="545"/>
      <c r="AQ77" s="96"/>
      <c r="AR77" s="93"/>
      <c r="AS77" s="1"/>
      <c r="AT77" s="4"/>
      <c r="AU77" s="12"/>
      <c r="AV77" s="11"/>
      <c r="BP77" s="316"/>
      <c r="BQ77" s="272"/>
      <c r="BR77" s="273"/>
      <c r="BS77" s="273"/>
      <c r="BT77" s="497"/>
      <c r="BU77" s="498"/>
      <c r="BV77" s="273"/>
      <c r="BW77" s="274"/>
      <c r="BX77" s="276"/>
      <c r="BY77" s="277"/>
      <c r="BZ77" s="497"/>
      <c r="CA77" s="498"/>
      <c r="CB77" s="278"/>
      <c r="CC77" s="275"/>
      <c r="CD77" s="307"/>
      <c r="CE77" s="317"/>
      <c r="CF77" s="318"/>
      <c r="CG77" s="319"/>
    </row>
    <row r="78" spans="2:85" ht="12.75" customHeight="1">
      <c r="B78" s="152"/>
      <c r="C78" s="152"/>
      <c r="D78" s="152"/>
      <c r="E78" s="152"/>
      <c r="F78" s="152"/>
      <c r="G78" s="152"/>
      <c r="H78" s="152"/>
      <c r="I78" s="152"/>
      <c r="J78" s="152"/>
      <c r="K78" s="152"/>
      <c r="L78" s="152"/>
      <c r="M78" s="152"/>
      <c r="N78" s="152"/>
      <c r="O78" s="152"/>
      <c r="P78" s="152"/>
      <c r="Q78" s="152"/>
      <c r="R78" s="152"/>
      <c r="AE78" s="87"/>
      <c r="AF78" s="566"/>
      <c r="AG78" s="97"/>
      <c r="AH78" s="97"/>
      <c r="AI78" s="530"/>
      <c r="AJ78" s="531"/>
      <c r="AK78" s="97"/>
      <c r="AL78" s="98"/>
      <c r="AM78" s="100"/>
      <c r="AN78" s="101"/>
      <c r="AO78" s="530">
        <f t="shared" si="15"/>
        <v>0</v>
      </c>
      <c r="AP78" s="531"/>
      <c r="AQ78" s="102"/>
      <c r="AR78" s="99"/>
      <c r="AS78" s="3"/>
      <c r="AT78" s="20"/>
      <c r="AU78" s="16"/>
      <c r="AV78" s="21"/>
      <c r="BP78" s="320"/>
      <c r="BQ78" s="499"/>
      <c r="BR78" s="284"/>
      <c r="BS78" s="284"/>
      <c r="BT78" s="481"/>
      <c r="BU78" s="482"/>
      <c r="BV78" s="284"/>
      <c r="BW78" s="285"/>
      <c r="BX78" s="287"/>
      <c r="BY78" s="288"/>
      <c r="BZ78" s="481"/>
      <c r="CA78" s="482"/>
      <c r="CB78" s="289"/>
      <c r="CC78" s="286"/>
      <c r="CD78" s="259"/>
      <c r="CE78" s="321"/>
      <c r="CF78" s="314"/>
      <c r="CG78" s="322"/>
    </row>
    <row r="79" spans="2:85" ht="12.75" customHeight="1">
      <c r="B79" s="152"/>
      <c r="C79" s="152"/>
      <c r="D79" s="152"/>
      <c r="E79" s="152"/>
      <c r="F79" s="152"/>
      <c r="G79" s="152"/>
      <c r="H79" s="152"/>
      <c r="I79" s="152"/>
      <c r="J79" s="152"/>
      <c r="K79" s="152"/>
      <c r="L79" s="152"/>
      <c r="M79" s="152"/>
      <c r="N79" s="152"/>
      <c r="O79" s="152"/>
      <c r="P79" s="152"/>
      <c r="Q79" s="152"/>
      <c r="R79" s="152"/>
      <c r="AE79" s="87"/>
      <c r="AF79" s="567"/>
      <c r="AG79" s="97"/>
      <c r="AH79" s="97"/>
      <c r="AI79" s="530"/>
      <c r="AJ79" s="531"/>
      <c r="AK79" s="97"/>
      <c r="AL79" s="98"/>
      <c r="AM79" s="100"/>
      <c r="AN79" s="101"/>
      <c r="AO79" s="530">
        <f t="shared" si="15"/>
        <v>0</v>
      </c>
      <c r="AP79" s="531"/>
      <c r="AQ79" s="102"/>
      <c r="AR79" s="99"/>
      <c r="AS79" s="3"/>
      <c r="AT79" s="19"/>
      <c r="AU79" s="16"/>
      <c r="AV79" s="14"/>
      <c r="BP79" s="320"/>
      <c r="BQ79" s="500"/>
      <c r="BR79" s="284"/>
      <c r="BS79" s="284"/>
      <c r="BT79" s="481"/>
      <c r="BU79" s="482"/>
      <c r="BV79" s="284"/>
      <c r="BW79" s="285"/>
      <c r="BX79" s="287"/>
      <c r="BY79" s="288"/>
      <c r="BZ79" s="481"/>
      <c r="CA79" s="482"/>
      <c r="CB79" s="289"/>
      <c r="CC79" s="286"/>
      <c r="CD79" s="259"/>
      <c r="CE79" s="323"/>
      <c r="CF79" s="314"/>
      <c r="CG79" s="324"/>
    </row>
    <row r="80" spans="2:85" ht="12.75" customHeight="1">
      <c r="B80" s="152"/>
      <c r="C80" s="152"/>
      <c r="D80" s="152"/>
      <c r="E80" s="152"/>
      <c r="F80" s="152"/>
      <c r="G80" s="152"/>
      <c r="H80" s="152"/>
      <c r="I80" s="152"/>
      <c r="J80" s="152"/>
      <c r="K80" s="152"/>
      <c r="L80" s="152"/>
      <c r="M80" s="152"/>
      <c r="N80" s="152"/>
      <c r="O80" s="152"/>
      <c r="P80" s="152"/>
      <c r="Q80" s="152"/>
      <c r="R80" s="152"/>
      <c r="AE80" s="79"/>
      <c r="AF80" s="80"/>
      <c r="AG80" s="103"/>
      <c r="AH80" s="103"/>
      <c r="AI80" s="530"/>
      <c r="AJ80" s="531"/>
      <c r="AK80" s="103"/>
      <c r="AL80" s="104"/>
      <c r="AM80" s="109"/>
      <c r="AN80" s="108"/>
      <c r="AO80" s="530">
        <f t="shared" si="15"/>
        <v>0</v>
      </c>
      <c r="AP80" s="531"/>
      <c r="AQ80" s="106"/>
      <c r="AR80" s="107"/>
      <c r="AS80" s="2"/>
      <c r="AT80" s="13"/>
      <c r="AU80" s="17"/>
      <c r="AV80" s="18"/>
      <c r="BP80" s="265"/>
      <c r="BQ80" s="266"/>
      <c r="BR80" s="297"/>
      <c r="BS80" s="297"/>
      <c r="BT80" s="481"/>
      <c r="BU80" s="482"/>
      <c r="BV80" s="297"/>
      <c r="BW80" s="298"/>
      <c r="BX80" s="325"/>
      <c r="BY80" s="304"/>
      <c r="BZ80" s="481"/>
      <c r="CA80" s="482"/>
      <c r="CB80" s="300"/>
      <c r="CC80" s="301"/>
      <c r="CD80" s="260"/>
      <c r="CE80" s="326"/>
      <c r="CF80" s="327"/>
      <c r="CG80" s="329"/>
    </row>
    <row r="81" spans="2:85" ht="12.75" customHeight="1">
      <c r="B81" s="152"/>
      <c r="C81" s="152"/>
      <c r="D81" s="152"/>
      <c r="E81" s="152"/>
      <c r="F81" s="152"/>
      <c r="G81" s="152"/>
      <c r="H81" s="152"/>
      <c r="I81" s="152"/>
      <c r="J81" s="152"/>
      <c r="K81" s="152"/>
      <c r="L81" s="152"/>
      <c r="M81" s="152"/>
      <c r="N81" s="152"/>
      <c r="O81" s="152"/>
      <c r="P81" s="152"/>
      <c r="Q81" s="152"/>
      <c r="R81" s="152"/>
      <c r="AE81" s="85"/>
      <c r="AF81" s="86"/>
      <c r="AG81" s="91"/>
      <c r="AH81" s="91"/>
      <c r="AI81" s="544"/>
      <c r="AJ81" s="545"/>
      <c r="AK81" s="91"/>
      <c r="AL81" s="92"/>
      <c r="AM81" s="94"/>
      <c r="AN81" s="95"/>
      <c r="AO81" s="544"/>
      <c r="AP81" s="545"/>
      <c r="AQ81" s="96"/>
      <c r="AR81" s="93"/>
      <c r="AS81" s="1"/>
      <c r="AT81" s="4"/>
      <c r="AU81" s="12"/>
      <c r="AV81" s="11"/>
      <c r="BP81" s="316"/>
      <c r="BQ81" s="272"/>
      <c r="BR81" s="273"/>
      <c r="BS81" s="273"/>
      <c r="BT81" s="497"/>
      <c r="BU81" s="498"/>
      <c r="BV81" s="273"/>
      <c r="BW81" s="274"/>
      <c r="BX81" s="276"/>
      <c r="BY81" s="277"/>
      <c r="BZ81" s="497"/>
      <c r="CA81" s="498"/>
      <c r="CB81" s="278"/>
      <c r="CC81" s="275"/>
      <c r="CD81" s="307"/>
      <c r="CE81" s="317"/>
      <c r="CF81" s="318"/>
      <c r="CG81" s="319"/>
    </row>
    <row r="82" spans="2:85" ht="12.75" customHeight="1">
      <c r="B82" s="152"/>
      <c r="C82" s="152"/>
      <c r="D82" s="152"/>
      <c r="E82" s="152"/>
      <c r="F82" s="152"/>
      <c r="G82" s="152"/>
      <c r="H82" s="152"/>
      <c r="I82" s="152"/>
      <c r="J82" s="152"/>
      <c r="K82" s="152"/>
      <c r="L82" s="152"/>
      <c r="M82" s="152"/>
      <c r="N82" s="152"/>
      <c r="O82" s="152"/>
      <c r="P82" s="152"/>
      <c r="Q82" s="152"/>
      <c r="R82" s="152"/>
      <c r="AE82" s="87"/>
      <c r="AF82" s="566" t="s">
        <v>39</v>
      </c>
      <c r="AG82" s="97"/>
      <c r="AH82" s="97"/>
      <c r="AI82" s="530"/>
      <c r="AJ82" s="531"/>
      <c r="AK82" s="97"/>
      <c r="AL82" s="98"/>
      <c r="AM82" s="100"/>
      <c r="AN82" s="101"/>
      <c r="AO82" s="530"/>
      <c r="AP82" s="531"/>
      <c r="AQ82" s="102"/>
      <c r="AR82" s="99"/>
      <c r="AS82" s="3"/>
      <c r="AT82" s="20"/>
      <c r="AU82" s="16"/>
      <c r="AV82" s="21"/>
      <c r="BP82" s="320"/>
      <c r="BQ82" s="499" t="s">
        <v>203</v>
      </c>
      <c r="BR82" s="284"/>
      <c r="BS82" s="284"/>
      <c r="BT82" s="481"/>
      <c r="BU82" s="482"/>
      <c r="BV82" s="284"/>
      <c r="BW82" s="285"/>
      <c r="BX82" s="287"/>
      <c r="BY82" s="288"/>
      <c r="BZ82" s="481"/>
      <c r="CA82" s="482"/>
      <c r="CB82" s="289"/>
      <c r="CC82" s="286"/>
      <c r="CD82" s="259"/>
      <c r="CE82" s="321"/>
      <c r="CF82" s="314"/>
      <c r="CG82" s="322"/>
    </row>
    <row r="83" spans="2:85" ht="12.75" customHeight="1">
      <c r="B83" s="152"/>
      <c r="C83" s="152"/>
      <c r="D83" s="152"/>
      <c r="E83" s="152"/>
      <c r="F83" s="152"/>
      <c r="G83" s="152"/>
      <c r="H83" s="152"/>
      <c r="I83" s="152"/>
      <c r="J83" s="152"/>
      <c r="K83" s="152"/>
      <c r="L83" s="152"/>
      <c r="M83" s="152"/>
      <c r="N83" s="152"/>
      <c r="O83" s="152"/>
      <c r="P83" s="152"/>
      <c r="Q83" s="152"/>
      <c r="R83" s="152"/>
      <c r="AE83" s="87"/>
      <c r="AF83" s="567"/>
      <c r="AG83" s="97"/>
      <c r="AH83" s="97">
        <f>AH43</f>
        <v>0</v>
      </c>
      <c r="AI83" s="530"/>
      <c r="AJ83" s="531"/>
      <c r="AK83" s="97"/>
      <c r="AL83" s="98"/>
      <c r="AM83" s="100"/>
      <c r="AN83" s="101"/>
      <c r="AO83" s="530"/>
      <c r="AP83" s="531"/>
      <c r="AQ83" s="102"/>
      <c r="AR83" s="99"/>
      <c r="AS83" s="3"/>
      <c r="AT83" s="19"/>
      <c r="AU83" s="16"/>
      <c r="AV83" s="14"/>
      <c r="BP83" s="320"/>
      <c r="BQ83" s="500"/>
      <c r="BR83" s="284"/>
      <c r="BS83" s="284">
        <v>0</v>
      </c>
      <c r="BT83" s="481"/>
      <c r="BU83" s="482"/>
      <c r="BV83" s="284"/>
      <c r="BW83" s="285"/>
      <c r="BX83" s="287"/>
      <c r="BY83" s="288"/>
      <c r="BZ83" s="481"/>
      <c r="CA83" s="482"/>
      <c r="CB83" s="289"/>
      <c r="CC83" s="286"/>
      <c r="CD83" s="259"/>
      <c r="CE83" s="323"/>
      <c r="CF83" s="314"/>
      <c r="CG83" s="324"/>
    </row>
    <row r="84" spans="2:85" ht="12.75" customHeight="1" thickBot="1">
      <c r="B84" s="152"/>
      <c r="C84" s="152"/>
      <c r="D84" s="152"/>
      <c r="E84" s="152"/>
      <c r="F84" s="152"/>
      <c r="G84" s="152"/>
      <c r="H84" s="152"/>
      <c r="I84" s="152"/>
      <c r="J84" s="152"/>
      <c r="K84" s="152"/>
      <c r="L84" s="152"/>
      <c r="M84" s="152"/>
      <c r="N84" s="152"/>
      <c r="O84" s="152"/>
      <c r="P84" s="152"/>
      <c r="Q84" s="152"/>
      <c r="R84" s="152"/>
      <c r="AE84" s="89"/>
      <c r="AF84" s="90"/>
      <c r="AG84" s="110"/>
      <c r="AH84" s="110">
        <f>AH44</f>
        <v>28800</v>
      </c>
      <c r="AI84" s="534"/>
      <c r="AJ84" s="543"/>
      <c r="AK84" s="110"/>
      <c r="AL84" s="534">
        <f>AL44</f>
        <v>28800</v>
      </c>
      <c r="AM84" s="535"/>
      <c r="AN84" s="112">
        <f>AN44</f>
        <v>879</v>
      </c>
      <c r="AO84" s="534">
        <f>SUM(AO53:AO80)</f>
        <v>101</v>
      </c>
      <c r="AP84" s="543"/>
      <c r="AQ84" s="113">
        <f>AQ44</f>
        <v>980</v>
      </c>
      <c r="AR84" s="111">
        <f>AR44</f>
        <v>27820</v>
      </c>
      <c r="AS84" s="6"/>
      <c r="AT84" s="26"/>
      <c r="AU84" s="27"/>
      <c r="AV84" s="28"/>
      <c r="BP84" s="330"/>
      <c r="BQ84" s="331"/>
      <c r="BR84" s="332"/>
      <c r="BS84" s="332">
        <v>0</v>
      </c>
      <c r="BT84" s="494"/>
      <c r="BU84" s="495"/>
      <c r="BV84" s="332"/>
      <c r="BW84" s="494">
        <v>0</v>
      </c>
      <c r="BX84" s="496"/>
      <c r="BY84" s="334">
        <v>0</v>
      </c>
      <c r="BZ84" s="494"/>
      <c r="CA84" s="495"/>
      <c r="CB84" s="335">
        <v>0</v>
      </c>
      <c r="CC84" s="333">
        <v>0</v>
      </c>
      <c r="CD84" s="336"/>
      <c r="CE84" s="337"/>
      <c r="CF84" s="338"/>
      <c r="CG84" s="339"/>
    </row>
    <row r="85" spans="2:163" s="36" customFormat="1" ht="12">
      <c r="B85" s="153"/>
      <c r="C85" s="153"/>
      <c r="D85" s="153"/>
      <c r="E85" s="153"/>
      <c r="F85" s="153"/>
      <c r="G85" s="153"/>
      <c r="H85" s="153"/>
      <c r="I85" s="153"/>
      <c r="J85" s="153"/>
      <c r="K85" s="153"/>
      <c r="L85" s="153"/>
      <c r="M85" s="153"/>
      <c r="N85" s="153"/>
      <c r="O85" s="153"/>
      <c r="P85" s="153"/>
      <c r="Q85" s="153"/>
      <c r="R85" s="153"/>
      <c r="U85" s="48"/>
      <c r="W85" s="48"/>
      <c r="X85" s="48"/>
      <c r="Z85" s="48"/>
      <c r="AA85" s="48"/>
      <c r="AC85" s="48"/>
      <c r="AE85" s="48"/>
      <c r="AF85" s="48"/>
      <c r="AH85" s="35"/>
      <c r="AI85" s="35"/>
      <c r="AL85" s="35"/>
      <c r="AM85" s="35"/>
      <c r="AN85" s="49"/>
      <c r="AQ85" s="49"/>
      <c r="AR85" s="35"/>
      <c r="AT85" s="40"/>
      <c r="AU85" s="16"/>
      <c r="AV85" s="50"/>
      <c r="AY85" s="248"/>
      <c r="AZ85" s="248"/>
      <c r="BA85" s="248"/>
      <c r="BB85" s="248"/>
      <c r="BC85" s="248"/>
      <c r="BD85" s="248"/>
      <c r="BE85" s="248"/>
      <c r="BF85" s="248"/>
      <c r="BG85" s="248"/>
      <c r="BH85" s="248"/>
      <c r="BI85" s="248"/>
      <c r="BJ85" s="248"/>
      <c r="BK85" s="248"/>
      <c r="BL85" s="248"/>
      <c r="BM85" s="248"/>
      <c r="BN85" s="248"/>
      <c r="BO85" s="248"/>
      <c r="BP85" s="345"/>
      <c r="BQ85" s="345"/>
      <c r="BR85" s="248"/>
      <c r="BS85" s="249"/>
      <c r="BT85" s="249"/>
      <c r="BU85" s="248"/>
      <c r="BV85" s="248"/>
      <c r="BW85" s="249"/>
      <c r="BX85" s="249"/>
      <c r="BY85" s="250"/>
      <c r="BZ85" s="248"/>
      <c r="CA85" s="248"/>
      <c r="CB85" s="250"/>
      <c r="CC85" s="249"/>
      <c r="CD85" s="248"/>
      <c r="CE85" s="346"/>
      <c r="CF85" s="314"/>
      <c r="CG85" s="347"/>
      <c r="CH85" s="248"/>
      <c r="CI85" s="248"/>
      <c r="CJ85" s="248"/>
      <c r="CK85" s="248"/>
      <c r="CL85" s="248"/>
      <c r="CM85" s="248"/>
      <c r="CN85" s="248"/>
      <c r="CO85" s="248"/>
      <c r="CP85" s="248"/>
      <c r="CQ85" s="248"/>
      <c r="CR85" s="248"/>
      <c r="CS85" s="248"/>
      <c r="CT85" s="248"/>
      <c r="CU85" s="248"/>
      <c r="CV85" s="248"/>
      <c r="CW85" s="248"/>
      <c r="CX85" s="248"/>
      <c r="CY85" s="248"/>
      <c r="CZ85" s="248"/>
      <c r="DA85" s="248"/>
      <c r="DB85" s="248"/>
      <c r="DC85" s="248"/>
      <c r="DD85" s="248"/>
      <c r="DE85" s="248"/>
      <c r="DF85" s="248"/>
      <c r="DG85" s="248"/>
      <c r="DH85" s="248"/>
      <c r="DI85" s="248"/>
      <c r="DJ85" s="248"/>
      <c r="DK85" s="248"/>
      <c r="DL85" s="248"/>
      <c r="DM85" s="248"/>
      <c r="DN85" s="248"/>
      <c r="DO85" s="248"/>
      <c r="DP85" s="248"/>
      <c r="DQ85" s="248"/>
      <c r="DR85" s="248"/>
      <c r="DS85" s="248"/>
      <c r="DT85" s="248"/>
      <c r="DU85" s="248"/>
      <c r="DV85" s="248"/>
      <c r="DW85" s="248"/>
      <c r="DX85" s="248"/>
      <c r="DY85" s="248"/>
      <c r="DZ85" s="248"/>
      <c r="EA85" s="248"/>
      <c r="EB85" s="248"/>
      <c r="EC85" s="248"/>
      <c r="ED85" s="248"/>
      <c r="EE85" s="248"/>
      <c r="EF85" s="248"/>
      <c r="EG85" s="248"/>
      <c r="EH85" s="248"/>
      <c r="EI85" s="248"/>
      <c r="EJ85" s="248"/>
      <c r="EK85" s="248"/>
      <c r="EL85" s="248"/>
      <c r="EM85" s="248"/>
      <c r="EN85" s="248"/>
      <c r="EO85" s="248"/>
      <c r="EP85" s="248"/>
      <c r="EQ85" s="248"/>
      <c r="ER85" s="248"/>
      <c r="ES85" s="248"/>
      <c r="ET85" s="248"/>
      <c r="EU85" s="248"/>
      <c r="EV85" s="248"/>
      <c r="EW85" s="248"/>
      <c r="EX85" s="248"/>
      <c r="EY85" s="248"/>
      <c r="EZ85" s="248"/>
      <c r="FA85" s="248"/>
      <c r="FB85" s="248"/>
      <c r="FC85" s="248"/>
      <c r="FD85" s="248"/>
      <c r="FE85" s="248"/>
      <c r="FF85" s="248"/>
      <c r="FG85" s="248"/>
    </row>
    <row r="86" spans="2:85" ht="12">
      <c r="B86" s="152"/>
      <c r="C86" s="152"/>
      <c r="D86" s="152"/>
      <c r="E86" s="152"/>
      <c r="F86" s="152"/>
      <c r="G86" s="152"/>
      <c r="H86" s="152"/>
      <c r="I86" s="152"/>
      <c r="J86" s="152"/>
      <c r="K86" s="152"/>
      <c r="L86" s="152"/>
      <c r="M86" s="152"/>
      <c r="N86" s="152"/>
      <c r="O86" s="152"/>
      <c r="P86" s="152"/>
      <c r="Q86" s="152"/>
      <c r="R86" s="152"/>
      <c r="AE86" s="48"/>
      <c r="AF86" s="48"/>
      <c r="AG86" s="36"/>
      <c r="AH86" s="35"/>
      <c r="AI86" s="35"/>
      <c r="AJ86" s="36"/>
      <c r="AK86" s="36"/>
      <c r="AL86" s="35"/>
      <c r="AM86" s="35"/>
      <c r="AN86" s="49"/>
      <c r="AO86" s="36"/>
      <c r="AP86" s="36"/>
      <c r="AQ86" s="49"/>
      <c r="AR86" s="35"/>
      <c r="AS86" s="36"/>
      <c r="AT86" s="40"/>
      <c r="AU86" s="16"/>
      <c r="AV86" s="50"/>
      <c r="BP86" s="345"/>
      <c r="BQ86" s="345"/>
      <c r="BR86" s="248"/>
      <c r="BS86" s="249"/>
      <c r="BT86" s="249"/>
      <c r="BU86" s="248"/>
      <c r="BV86" s="248"/>
      <c r="BW86" s="249"/>
      <c r="BX86" s="249"/>
      <c r="BY86" s="250"/>
      <c r="BZ86" s="248"/>
      <c r="CA86" s="248"/>
      <c r="CB86" s="250"/>
      <c r="CC86" s="249"/>
      <c r="CD86" s="248"/>
      <c r="CE86" s="346"/>
      <c r="CF86" s="314"/>
      <c r="CG86" s="347"/>
    </row>
    <row r="87" spans="2:85" ht="12">
      <c r="B87" s="152"/>
      <c r="C87" s="152"/>
      <c r="D87" s="152"/>
      <c r="E87" s="152"/>
      <c r="F87" s="152"/>
      <c r="G87" s="152"/>
      <c r="H87" s="152"/>
      <c r="I87" s="152"/>
      <c r="J87" s="152"/>
      <c r="K87" s="152"/>
      <c r="L87" s="152"/>
      <c r="M87" s="152"/>
      <c r="N87" s="152"/>
      <c r="O87" s="152"/>
      <c r="P87" s="152"/>
      <c r="Q87" s="152"/>
      <c r="R87" s="152"/>
      <c r="AE87" s="48"/>
      <c r="AF87" s="48"/>
      <c r="AG87" s="36"/>
      <c r="AH87" s="35"/>
      <c r="AI87" s="35"/>
      <c r="AJ87" s="36"/>
      <c r="AK87" s="36"/>
      <c r="AL87" s="35"/>
      <c r="AM87" s="35"/>
      <c r="AN87" s="49"/>
      <c r="AO87" s="36"/>
      <c r="AP87" s="36"/>
      <c r="AQ87" s="49"/>
      <c r="AR87" s="35"/>
      <c r="AS87" s="36"/>
      <c r="AT87" s="40"/>
      <c r="AU87" s="16"/>
      <c r="AV87" s="50"/>
      <c r="BP87" s="345"/>
      <c r="BQ87" s="345"/>
      <c r="BR87" s="248"/>
      <c r="BS87" s="249"/>
      <c r="BT87" s="249"/>
      <c r="BU87" s="248"/>
      <c r="BV87" s="248"/>
      <c r="BW87" s="249"/>
      <c r="BX87" s="249"/>
      <c r="BY87" s="250"/>
      <c r="BZ87" s="248"/>
      <c r="CA87" s="248"/>
      <c r="CB87" s="250"/>
      <c r="CC87" s="249"/>
      <c r="CD87" s="248"/>
      <c r="CE87" s="346"/>
      <c r="CF87" s="314"/>
      <c r="CG87" s="347"/>
    </row>
    <row r="88" spans="2:85" ht="12">
      <c r="B88" s="152"/>
      <c r="C88" s="152"/>
      <c r="D88" s="152"/>
      <c r="E88" s="152"/>
      <c r="F88" s="152"/>
      <c r="G88" s="152"/>
      <c r="H88" s="152"/>
      <c r="I88" s="152"/>
      <c r="J88" s="152"/>
      <c r="K88" s="152"/>
      <c r="L88" s="152"/>
      <c r="M88" s="152"/>
      <c r="N88" s="152"/>
      <c r="O88" s="152"/>
      <c r="P88" s="152"/>
      <c r="Q88" s="152"/>
      <c r="R88" s="152"/>
      <c r="AE88" s="10"/>
      <c r="AF88" s="10"/>
      <c r="AG88" s="44"/>
      <c r="AH88" s="45"/>
      <c r="AI88" s="45"/>
      <c r="AJ88" s="44"/>
      <c r="AK88" s="44"/>
      <c r="AL88" s="45"/>
      <c r="AM88" s="45"/>
      <c r="AN88" s="46"/>
      <c r="AO88" s="44"/>
      <c r="AP88" s="44"/>
      <c r="AQ88" s="46"/>
      <c r="AR88" s="45"/>
      <c r="AS88" s="44"/>
      <c r="AT88" s="39"/>
      <c r="AU88" s="17"/>
      <c r="AV88" s="47"/>
      <c r="BP88" s="348"/>
      <c r="BQ88" s="348"/>
      <c r="BR88" s="349"/>
      <c r="BS88" s="350"/>
      <c r="BT88" s="350"/>
      <c r="BU88" s="349"/>
      <c r="BV88" s="349"/>
      <c r="BW88" s="350"/>
      <c r="BX88" s="350"/>
      <c r="BY88" s="351"/>
      <c r="BZ88" s="349"/>
      <c r="CA88" s="349"/>
      <c r="CB88" s="351"/>
      <c r="CC88" s="350"/>
      <c r="CD88" s="349"/>
      <c r="CE88" s="352"/>
      <c r="CF88" s="327"/>
      <c r="CG88" s="353"/>
    </row>
    <row r="89" spans="2:85" ht="12">
      <c r="B89" s="152"/>
      <c r="C89" s="152"/>
      <c r="D89" s="152"/>
      <c r="E89" s="152"/>
      <c r="F89" s="152"/>
      <c r="G89" s="152"/>
      <c r="H89" s="152"/>
      <c r="I89" s="152"/>
      <c r="J89" s="152"/>
      <c r="K89" s="152"/>
      <c r="L89" s="152"/>
      <c r="M89" s="152"/>
      <c r="N89" s="152"/>
      <c r="O89" s="152"/>
      <c r="P89" s="152"/>
      <c r="Q89" s="152"/>
      <c r="R89" s="152"/>
      <c r="AE89" s="63" t="s">
        <v>9</v>
      </c>
      <c r="AF89" s="63" t="s">
        <v>33</v>
      </c>
      <c r="AG89" s="64" t="s">
        <v>37</v>
      </c>
      <c r="AH89" s="64" t="s">
        <v>34</v>
      </c>
      <c r="AI89" s="538"/>
      <c r="AJ89" s="539"/>
      <c r="AK89" s="64"/>
      <c r="AL89" s="65" t="s">
        <v>35</v>
      </c>
      <c r="AM89" s="67"/>
      <c r="AN89" s="68" t="s">
        <v>11</v>
      </c>
      <c r="AO89" s="538" t="str">
        <f>IF($AO$91&gt;0,"雇用保険料","")</f>
        <v>雇用保険料</v>
      </c>
      <c r="AP89" s="539"/>
      <c r="AQ89" s="69" t="s">
        <v>35</v>
      </c>
      <c r="AR89" s="66" t="s">
        <v>36</v>
      </c>
      <c r="AS89" s="43" t="s">
        <v>38</v>
      </c>
      <c r="AT89" s="487" t="str">
        <f>$AT$53</f>
        <v>学力アップ</v>
      </c>
      <c r="AU89" s="487"/>
      <c r="AV89" s="186">
        <f>+$AI$4-1</f>
        <v>4</v>
      </c>
      <c r="BP89" s="354" t="s">
        <v>192</v>
      </c>
      <c r="BQ89" s="354" t="s">
        <v>206</v>
      </c>
      <c r="BR89" s="355" t="s">
        <v>207</v>
      </c>
      <c r="BS89" s="355" t="s">
        <v>208</v>
      </c>
      <c r="BT89" s="491"/>
      <c r="BU89" s="492"/>
      <c r="BV89" s="355"/>
      <c r="BW89" s="356" t="s">
        <v>209</v>
      </c>
      <c r="BX89" s="358"/>
      <c r="BY89" s="359" t="s">
        <v>202</v>
      </c>
      <c r="BZ89" s="491"/>
      <c r="CA89" s="492"/>
      <c r="CB89" s="360" t="s">
        <v>209</v>
      </c>
      <c r="CC89" s="357" t="s">
        <v>210</v>
      </c>
      <c r="CD89" s="361" t="s">
        <v>211</v>
      </c>
      <c r="CE89" s="318">
        <v>0</v>
      </c>
      <c r="CG89" s="362">
        <v>3</v>
      </c>
    </row>
    <row r="90" spans="2:85" ht="14.25">
      <c r="B90" s="152"/>
      <c r="C90" s="152"/>
      <c r="D90" s="152"/>
      <c r="E90" s="152"/>
      <c r="F90" s="152"/>
      <c r="G90" s="152"/>
      <c r="H90" s="152"/>
      <c r="I90" s="152"/>
      <c r="J90" s="152"/>
      <c r="K90" s="152"/>
      <c r="L90" s="152"/>
      <c r="M90" s="152"/>
      <c r="N90" s="152"/>
      <c r="O90" s="152"/>
      <c r="P90" s="152"/>
      <c r="Q90" s="152"/>
      <c r="R90" s="152"/>
      <c r="AE90" s="88" t="str">
        <f>AE54</f>
        <v>非常勤</v>
      </c>
      <c r="AF90" s="574" t="str">
        <f>AF54</f>
        <v>京築　太郎</v>
      </c>
      <c r="AG90" s="97"/>
      <c r="AH90" s="97"/>
      <c r="AI90" s="530"/>
      <c r="AJ90" s="531"/>
      <c r="AK90" s="97"/>
      <c r="AL90" s="98"/>
      <c r="AM90" s="100"/>
      <c r="AN90" s="101"/>
      <c r="AO90" s="530">
        <f>AO54</f>
        <v>15</v>
      </c>
      <c r="AP90" s="531"/>
      <c r="AQ90" s="102"/>
      <c r="AR90" s="99"/>
      <c r="AS90" s="187" t="s">
        <v>215</v>
      </c>
      <c r="AT90" s="37">
        <f aca="true" t="shared" si="22" ref="AT90:AV92">AT54</f>
        <v>40274</v>
      </c>
      <c r="AU90" s="37" t="str">
        <f t="shared" si="22"/>
        <v>～</v>
      </c>
      <c r="AV90" s="51">
        <f t="shared" si="22"/>
        <v>40379</v>
      </c>
      <c r="BP90" s="293" t="s">
        <v>170</v>
      </c>
      <c r="BQ90" s="479">
        <v>0</v>
      </c>
      <c r="BR90" s="284"/>
      <c r="BS90" s="284"/>
      <c r="BT90" s="481"/>
      <c r="BU90" s="482"/>
      <c r="BV90" s="284"/>
      <c r="BW90" s="285"/>
      <c r="BX90" s="287"/>
      <c r="BY90" s="288"/>
      <c r="BZ90" s="481"/>
      <c r="CA90" s="482"/>
      <c r="CB90" s="289"/>
      <c r="CC90" s="286"/>
      <c r="CD90" s="363" t="s">
        <v>215</v>
      </c>
      <c r="CE90" s="364">
        <v>0</v>
      </c>
      <c r="CF90" s="364" t="b">
        <v>0</v>
      </c>
      <c r="CG90" s="365">
        <v>0</v>
      </c>
    </row>
    <row r="91" spans="2:85" ht="14.25">
      <c r="B91" s="152"/>
      <c r="C91" s="152"/>
      <c r="D91" s="152"/>
      <c r="E91" s="152"/>
      <c r="F91" s="152"/>
      <c r="G91" s="152"/>
      <c r="H91" s="152"/>
      <c r="I91" s="152"/>
      <c r="J91" s="152"/>
      <c r="K91" s="152"/>
      <c r="L91" s="152"/>
      <c r="M91" s="152"/>
      <c r="N91" s="152"/>
      <c r="O91" s="152"/>
      <c r="P91" s="152"/>
      <c r="Q91" s="152"/>
      <c r="R91" s="152"/>
      <c r="AE91" s="88" t="str">
        <f>AE55</f>
        <v>講　師</v>
      </c>
      <c r="AF91" s="575"/>
      <c r="AG91" s="97"/>
      <c r="AH91" s="97">
        <f>AH55</f>
        <v>0</v>
      </c>
      <c r="AI91" s="530"/>
      <c r="AJ91" s="531"/>
      <c r="AK91" s="97"/>
      <c r="AL91" s="98"/>
      <c r="AM91" s="100"/>
      <c r="AN91" s="101"/>
      <c r="AO91" s="530">
        <f>AO55</f>
        <v>86</v>
      </c>
      <c r="AP91" s="531"/>
      <c r="AQ91" s="102"/>
      <c r="AR91" s="99"/>
      <c r="AS91" s="42" t="s">
        <v>40</v>
      </c>
      <c r="AT91" s="38">
        <f t="shared" si="22"/>
      </c>
      <c r="AU91" s="37">
        <f t="shared" si="22"/>
      </c>
      <c r="AV91" s="70">
        <f t="shared" si="22"/>
      </c>
      <c r="BP91" s="293" t="s">
        <v>171</v>
      </c>
      <c r="BQ91" s="480"/>
      <c r="BR91" s="284"/>
      <c r="BS91" s="284">
        <v>0</v>
      </c>
      <c r="BT91" s="481"/>
      <c r="BU91" s="482"/>
      <c r="BV91" s="284"/>
      <c r="BW91" s="285"/>
      <c r="BX91" s="287"/>
      <c r="BY91" s="288"/>
      <c r="BZ91" s="481"/>
      <c r="CA91" s="482"/>
      <c r="CB91" s="289"/>
      <c r="CC91" s="286"/>
      <c r="CD91" s="366" t="s">
        <v>212</v>
      </c>
      <c r="CE91" s="367" t="s">
        <v>172</v>
      </c>
      <c r="CF91" s="364" t="s">
        <v>172</v>
      </c>
      <c r="CG91" s="368" t="s">
        <v>172</v>
      </c>
    </row>
    <row r="92" spans="31:85" ht="14.25">
      <c r="AE92" s="88"/>
      <c r="AF92" s="88"/>
      <c r="AG92" s="97"/>
      <c r="AH92" s="97">
        <f aca="true" t="shared" si="23" ref="AH92:AR92">AH56</f>
        <v>28800</v>
      </c>
      <c r="AI92" s="530"/>
      <c r="AJ92" s="531"/>
      <c r="AK92" s="97"/>
      <c r="AL92" s="532">
        <f t="shared" si="23"/>
        <v>28800</v>
      </c>
      <c r="AM92" s="533"/>
      <c r="AN92" s="101">
        <f t="shared" si="23"/>
        <v>879</v>
      </c>
      <c r="AO92" s="530">
        <f>AO56</f>
        <v>0</v>
      </c>
      <c r="AP92" s="531"/>
      <c r="AQ92" s="102">
        <f t="shared" si="23"/>
        <v>980</v>
      </c>
      <c r="AR92" s="99">
        <f t="shared" si="23"/>
        <v>27820</v>
      </c>
      <c r="AS92" s="42" t="s">
        <v>42</v>
      </c>
      <c r="AT92" s="38">
        <f t="shared" si="22"/>
        <v>2400</v>
      </c>
      <c r="AU92" s="37" t="str">
        <f t="shared" si="22"/>
        <v>×</v>
      </c>
      <c r="AV92" s="75">
        <f t="shared" si="22"/>
        <v>12</v>
      </c>
      <c r="BP92" s="293"/>
      <c r="BQ92" s="293"/>
      <c r="BR92" s="284"/>
      <c r="BS92" s="284">
        <v>0</v>
      </c>
      <c r="BT92" s="481"/>
      <c r="BU92" s="482"/>
      <c r="BV92" s="284"/>
      <c r="BW92" s="489">
        <v>0</v>
      </c>
      <c r="BX92" s="490"/>
      <c r="BY92" s="288">
        <v>0</v>
      </c>
      <c r="BZ92" s="481"/>
      <c r="CA92" s="482"/>
      <c r="CB92" s="289">
        <v>0</v>
      </c>
      <c r="CC92" s="286">
        <v>0</v>
      </c>
      <c r="CD92" s="366" t="s">
        <v>213</v>
      </c>
      <c r="CE92" s="367">
        <v>2380</v>
      </c>
      <c r="CF92" s="364" t="s">
        <v>173</v>
      </c>
      <c r="CG92" s="369">
        <v>0</v>
      </c>
    </row>
    <row r="93" spans="31:85" ht="12">
      <c r="AE93" s="52"/>
      <c r="AF93" s="52"/>
      <c r="AG93" s="59"/>
      <c r="AH93" s="59"/>
      <c r="AI93" s="59"/>
      <c r="AJ93" s="59"/>
      <c r="AK93" s="59"/>
      <c r="AL93" s="59"/>
      <c r="AM93" s="59"/>
      <c r="AN93" s="59"/>
      <c r="AO93" s="59"/>
      <c r="AP93" s="59"/>
      <c r="AQ93" s="59"/>
      <c r="AR93" s="59"/>
      <c r="AS93" s="53"/>
      <c r="AT93" s="54"/>
      <c r="AU93" s="55"/>
      <c r="AV93" s="56"/>
      <c r="BP93" s="370"/>
      <c r="BQ93" s="370"/>
      <c r="BR93" s="371"/>
      <c r="BS93" s="371"/>
      <c r="BT93" s="371"/>
      <c r="BU93" s="371"/>
      <c r="BV93" s="371"/>
      <c r="BW93" s="371"/>
      <c r="BX93" s="371"/>
      <c r="BY93" s="371"/>
      <c r="BZ93" s="371"/>
      <c r="CA93" s="371"/>
      <c r="CB93" s="371"/>
      <c r="CC93" s="371"/>
      <c r="CD93" s="372"/>
      <c r="CE93" s="373"/>
      <c r="CF93" s="374"/>
      <c r="CG93" s="375"/>
    </row>
    <row r="94" spans="31:85" ht="12">
      <c r="AE94" s="63" t="s">
        <v>9</v>
      </c>
      <c r="AF94" s="63" t="s">
        <v>33</v>
      </c>
      <c r="AG94" s="64" t="s">
        <v>37</v>
      </c>
      <c r="AH94" s="64" t="s">
        <v>34</v>
      </c>
      <c r="AI94" s="538"/>
      <c r="AJ94" s="539"/>
      <c r="AK94" s="64"/>
      <c r="AL94" s="65" t="s">
        <v>35</v>
      </c>
      <c r="AM94" s="67"/>
      <c r="AN94" s="68" t="s">
        <v>11</v>
      </c>
      <c r="AO94" s="538" t="str">
        <f>IF($AO$96&gt;0,"雇用保険料","")</f>
        <v>雇用保険料</v>
      </c>
      <c r="AP94" s="539"/>
      <c r="AQ94" s="69" t="s">
        <v>35</v>
      </c>
      <c r="AR94" s="66" t="s">
        <v>36</v>
      </c>
      <c r="AS94" s="43" t="s">
        <v>38</v>
      </c>
      <c r="AT94" s="12">
        <f>$AT$57</f>
      </c>
      <c r="AU94" s="12"/>
      <c r="AV94" s="186">
        <f>+$AI$4-1</f>
        <v>4</v>
      </c>
      <c r="BP94" s="354" t="s">
        <v>192</v>
      </c>
      <c r="BQ94" s="354" t="s">
        <v>206</v>
      </c>
      <c r="BR94" s="355" t="s">
        <v>207</v>
      </c>
      <c r="BS94" s="355" t="s">
        <v>208</v>
      </c>
      <c r="BT94" s="491"/>
      <c r="BU94" s="492"/>
      <c r="BV94" s="355"/>
      <c r="BW94" s="356" t="s">
        <v>209</v>
      </c>
      <c r="BX94" s="358"/>
      <c r="BY94" s="359" t="s">
        <v>202</v>
      </c>
      <c r="BZ94" s="491"/>
      <c r="CA94" s="492"/>
      <c r="CB94" s="360" t="s">
        <v>209</v>
      </c>
      <c r="CC94" s="357" t="s">
        <v>210</v>
      </c>
      <c r="CD94" s="361" t="s">
        <v>211</v>
      </c>
      <c r="CE94" s="318" t="s">
        <v>172</v>
      </c>
      <c r="CF94" s="318"/>
      <c r="CG94" s="362">
        <v>3</v>
      </c>
    </row>
    <row r="95" spans="31:85" ht="14.25">
      <c r="AE95" s="88">
        <f>AE58</f>
      </c>
      <c r="AF95" s="574">
        <f>AF58</f>
      </c>
      <c r="AG95" s="97"/>
      <c r="AH95" s="97"/>
      <c r="AI95" s="530"/>
      <c r="AJ95" s="531"/>
      <c r="AK95" s="97"/>
      <c r="AL95" s="98"/>
      <c r="AM95" s="100"/>
      <c r="AN95" s="101"/>
      <c r="AO95" s="530">
        <f>AO58</f>
        <v>0</v>
      </c>
      <c r="AP95" s="531"/>
      <c r="AQ95" s="102"/>
      <c r="AR95" s="99"/>
      <c r="AS95" s="187" t="s">
        <v>215</v>
      </c>
      <c r="AT95" s="37">
        <f aca="true" t="shared" si="24" ref="AT95:AV97">AT58</f>
      </c>
      <c r="AU95" s="37">
        <f t="shared" si="24"/>
      </c>
      <c r="AV95" s="51">
        <f t="shared" si="24"/>
      </c>
      <c r="BP95" s="293" t="s">
        <v>172</v>
      </c>
      <c r="BQ95" s="479" t="s">
        <v>172</v>
      </c>
      <c r="BR95" s="284"/>
      <c r="BS95" s="284"/>
      <c r="BT95" s="481"/>
      <c r="BU95" s="482"/>
      <c r="BV95" s="284"/>
      <c r="BW95" s="285"/>
      <c r="BX95" s="287"/>
      <c r="BY95" s="288"/>
      <c r="BZ95" s="481"/>
      <c r="CA95" s="482"/>
      <c r="CB95" s="289"/>
      <c r="CC95" s="286"/>
      <c r="CD95" s="363" t="s">
        <v>215</v>
      </c>
      <c r="CE95" s="364" t="s">
        <v>172</v>
      </c>
      <c r="CF95" s="364" t="s">
        <v>172</v>
      </c>
      <c r="CG95" s="365" t="s">
        <v>172</v>
      </c>
    </row>
    <row r="96" spans="31:85" ht="14.25">
      <c r="AE96" s="88">
        <f>AE59</f>
      </c>
      <c r="AF96" s="575"/>
      <c r="AG96" s="97"/>
      <c r="AH96" s="97">
        <f>AH59</f>
      </c>
      <c r="AI96" s="530"/>
      <c r="AJ96" s="531"/>
      <c r="AK96" s="97"/>
      <c r="AL96" s="98"/>
      <c r="AM96" s="100"/>
      <c r="AN96" s="101"/>
      <c r="AO96" s="530">
        <f>AO59</f>
      </c>
      <c r="AP96" s="531"/>
      <c r="AQ96" s="102"/>
      <c r="AR96" s="99"/>
      <c r="AS96" s="42" t="s">
        <v>40</v>
      </c>
      <c r="AT96" s="38">
        <f t="shared" si="24"/>
      </c>
      <c r="AU96" s="37">
        <f t="shared" si="24"/>
      </c>
      <c r="AV96" s="70">
        <f t="shared" si="24"/>
      </c>
      <c r="BP96" s="293" t="s">
        <v>172</v>
      </c>
      <c r="BQ96" s="480"/>
      <c r="BR96" s="284"/>
      <c r="BS96" s="284" t="s">
        <v>172</v>
      </c>
      <c r="BT96" s="481"/>
      <c r="BU96" s="482"/>
      <c r="BV96" s="284"/>
      <c r="BW96" s="285"/>
      <c r="BX96" s="287"/>
      <c r="BY96" s="288"/>
      <c r="BZ96" s="481"/>
      <c r="CA96" s="482"/>
      <c r="CB96" s="289"/>
      <c r="CC96" s="286"/>
      <c r="CD96" s="366" t="s">
        <v>212</v>
      </c>
      <c r="CE96" s="367" t="s">
        <v>172</v>
      </c>
      <c r="CF96" s="364" t="s">
        <v>172</v>
      </c>
      <c r="CG96" s="368" t="s">
        <v>172</v>
      </c>
    </row>
    <row r="97" spans="31:85" ht="14.25">
      <c r="AE97" s="88"/>
      <c r="AF97" s="80"/>
      <c r="AG97" s="103"/>
      <c r="AH97" s="103">
        <f aca="true" t="shared" si="25" ref="AH97:AR97">AH60</f>
      </c>
      <c r="AI97" s="530"/>
      <c r="AJ97" s="531"/>
      <c r="AK97" s="103"/>
      <c r="AL97" s="532">
        <f t="shared" si="25"/>
        <v>0</v>
      </c>
      <c r="AM97" s="533"/>
      <c r="AN97" s="108">
        <f t="shared" si="25"/>
      </c>
      <c r="AO97" s="530">
        <f>AO60</f>
        <v>0</v>
      </c>
      <c r="AP97" s="531"/>
      <c r="AQ97" s="106">
        <f t="shared" si="25"/>
        <v>0</v>
      </c>
      <c r="AR97" s="107">
        <f t="shared" si="25"/>
      </c>
      <c r="AS97" s="42" t="s">
        <v>42</v>
      </c>
      <c r="AT97" s="62">
        <f t="shared" si="24"/>
      </c>
      <c r="AU97" s="41">
        <f t="shared" si="24"/>
      </c>
      <c r="AV97" s="71">
        <f t="shared" si="24"/>
      </c>
      <c r="BP97" s="293"/>
      <c r="BQ97" s="266"/>
      <c r="BR97" s="297"/>
      <c r="BS97" s="297" t="s">
        <v>172</v>
      </c>
      <c r="BT97" s="481"/>
      <c r="BU97" s="482"/>
      <c r="BV97" s="297"/>
      <c r="BW97" s="489" t="s">
        <v>172</v>
      </c>
      <c r="BX97" s="490"/>
      <c r="BY97" s="304" t="s">
        <v>172</v>
      </c>
      <c r="BZ97" s="481"/>
      <c r="CA97" s="482"/>
      <c r="CB97" s="300" t="s">
        <v>172</v>
      </c>
      <c r="CC97" s="301" t="s">
        <v>172</v>
      </c>
      <c r="CD97" s="366" t="s">
        <v>213</v>
      </c>
      <c r="CE97" s="376" t="s">
        <v>172</v>
      </c>
      <c r="CF97" s="377" t="s">
        <v>172</v>
      </c>
      <c r="CG97" s="378" t="s">
        <v>172</v>
      </c>
    </row>
    <row r="98" spans="31:85" ht="12">
      <c r="AE98" s="52"/>
      <c r="AF98" s="52"/>
      <c r="AG98" s="59"/>
      <c r="AH98" s="59"/>
      <c r="AI98" s="59"/>
      <c r="AJ98" s="59"/>
      <c r="AK98" s="59"/>
      <c r="AL98" s="59"/>
      <c r="AM98" s="59"/>
      <c r="AN98" s="59"/>
      <c r="AO98" s="59"/>
      <c r="AP98" s="59"/>
      <c r="AQ98" s="59"/>
      <c r="AR98" s="59"/>
      <c r="AS98" s="53"/>
      <c r="AT98" s="54"/>
      <c r="AU98" s="55"/>
      <c r="AV98" s="56"/>
      <c r="BP98" s="370"/>
      <c r="BQ98" s="370"/>
      <c r="BR98" s="371"/>
      <c r="BS98" s="371"/>
      <c r="BT98" s="371"/>
      <c r="BU98" s="371"/>
      <c r="BV98" s="371"/>
      <c r="BW98" s="371"/>
      <c r="BX98" s="371"/>
      <c r="BY98" s="371"/>
      <c r="BZ98" s="371"/>
      <c r="CA98" s="371"/>
      <c r="CB98" s="371"/>
      <c r="CC98" s="371"/>
      <c r="CD98" s="372"/>
      <c r="CE98" s="373"/>
      <c r="CF98" s="374"/>
      <c r="CG98" s="375"/>
    </row>
    <row r="99" spans="31:85" ht="12">
      <c r="AE99" s="63" t="s">
        <v>9</v>
      </c>
      <c r="AF99" s="63" t="s">
        <v>33</v>
      </c>
      <c r="AG99" s="64" t="s">
        <v>37</v>
      </c>
      <c r="AH99" s="64" t="s">
        <v>34</v>
      </c>
      <c r="AI99" s="538"/>
      <c r="AJ99" s="539"/>
      <c r="AK99" s="64"/>
      <c r="AL99" s="65" t="s">
        <v>35</v>
      </c>
      <c r="AM99" s="67"/>
      <c r="AN99" s="68" t="s">
        <v>11</v>
      </c>
      <c r="AO99" s="538" t="str">
        <f>IF($AO$101&gt;0,"雇用保険料","")</f>
        <v>雇用保険料</v>
      </c>
      <c r="AP99" s="539"/>
      <c r="AQ99" s="69" t="s">
        <v>35</v>
      </c>
      <c r="AR99" s="66" t="s">
        <v>36</v>
      </c>
      <c r="AS99" s="43" t="s">
        <v>38</v>
      </c>
      <c r="AT99" s="12">
        <f>$AT$61</f>
      </c>
      <c r="AU99" s="12"/>
      <c r="AV99" s="186">
        <f>+$AI$4-1</f>
        <v>4</v>
      </c>
      <c r="BP99" s="354" t="s">
        <v>192</v>
      </c>
      <c r="BQ99" s="354" t="s">
        <v>206</v>
      </c>
      <c r="BR99" s="355" t="s">
        <v>207</v>
      </c>
      <c r="BS99" s="355" t="s">
        <v>208</v>
      </c>
      <c r="BT99" s="491"/>
      <c r="BU99" s="492"/>
      <c r="BV99" s="355"/>
      <c r="BW99" s="356" t="s">
        <v>209</v>
      </c>
      <c r="BX99" s="358"/>
      <c r="BY99" s="359" t="s">
        <v>202</v>
      </c>
      <c r="BZ99" s="491"/>
      <c r="CA99" s="492"/>
      <c r="CB99" s="360" t="s">
        <v>209</v>
      </c>
      <c r="CC99" s="357" t="s">
        <v>210</v>
      </c>
      <c r="CD99" s="361" t="s">
        <v>211</v>
      </c>
      <c r="CE99" s="318" t="s">
        <v>172</v>
      </c>
      <c r="CF99" s="318"/>
      <c r="CG99" s="362">
        <v>3</v>
      </c>
    </row>
    <row r="100" spans="31:85" ht="14.25">
      <c r="AE100" s="88">
        <f>AE62</f>
      </c>
      <c r="AF100" s="574">
        <f>AF62</f>
      </c>
      <c r="AG100" s="97"/>
      <c r="AH100" s="97"/>
      <c r="AI100" s="530"/>
      <c r="AJ100" s="531"/>
      <c r="AK100" s="97"/>
      <c r="AL100" s="98"/>
      <c r="AM100" s="100"/>
      <c r="AN100" s="101"/>
      <c r="AO100" s="530">
        <f>AO62</f>
        <v>0</v>
      </c>
      <c r="AP100" s="531"/>
      <c r="AQ100" s="102"/>
      <c r="AR100" s="99"/>
      <c r="AS100" s="187" t="s">
        <v>215</v>
      </c>
      <c r="AT100" s="37">
        <f aca="true" t="shared" si="26" ref="AT100:AV102">AT62</f>
      </c>
      <c r="AU100" s="37">
        <f t="shared" si="26"/>
      </c>
      <c r="AV100" s="51">
        <f t="shared" si="26"/>
      </c>
      <c r="BP100" s="293" t="s">
        <v>172</v>
      </c>
      <c r="BQ100" s="479" t="s">
        <v>172</v>
      </c>
      <c r="BR100" s="284"/>
      <c r="BS100" s="284"/>
      <c r="BT100" s="481"/>
      <c r="BU100" s="482"/>
      <c r="BV100" s="284"/>
      <c r="BW100" s="285"/>
      <c r="BX100" s="287"/>
      <c r="BY100" s="288"/>
      <c r="BZ100" s="481"/>
      <c r="CA100" s="482"/>
      <c r="CB100" s="289"/>
      <c r="CC100" s="286"/>
      <c r="CD100" s="363" t="s">
        <v>215</v>
      </c>
      <c r="CE100" s="364" t="s">
        <v>172</v>
      </c>
      <c r="CF100" s="364" t="s">
        <v>172</v>
      </c>
      <c r="CG100" s="365" t="s">
        <v>172</v>
      </c>
    </row>
    <row r="101" spans="31:85" ht="14.25">
      <c r="AE101" s="88">
        <f>AE63</f>
      </c>
      <c r="AF101" s="575"/>
      <c r="AG101" s="97"/>
      <c r="AH101" s="97">
        <f>AH63</f>
      </c>
      <c r="AI101" s="530"/>
      <c r="AJ101" s="531"/>
      <c r="AK101" s="97"/>
      <c r="AL101" s="98"/>
      <c r="AM101" s="100"/>
      <c r="AN101" s="101"/>
      <c r="AO101" s="530">
        <f>AO63</f>
      </c>
      <c r="AP101" s="531"/>
      <c r="AQ101" s="102"/>
      <c r="AR101" s="99"/>
      <c r="AS101" s="42" t="s">
        <v>40</v>
      </c>
      <c r="AT101" s="38">
        <f t="shared" si="26"/>
      </c>
      <c r="AU101" s="37">
        <f t="shared" si="26"/>
      </c>
      <c r="AV101" s="70">
        <f t="shared" si="26"/>
      </c>
      <c r="BP101" s="293" t="s">
        <v>172</v>
      </c>
      <c r="BQ101" s="480"/>
      <c r="BR101" s="284"/>
      <c r="BS101" s="284" t="s">
        <v>172</v>
      </c>
      <c r="BT101" s="481"/>
      <c r="BU101" s="482"/>
      <c r="BV101" s="284"/>
      <c r="BW101" s="285"/>
      <c r="BX101" s="287"/>
      <c r="BY101" s="288"/>
      <c r="BZ101" s="481"/>
      <c r="CA101" s="482"/>
      <c r="CB101" s="289"/>
      <c r="CC101" s="286"/>
      <c r="CD101" s="366" t="s">
        <v>212</v>
      </c>
      <c r="CE101" s="367" t="s">
        <v>172</v>
      </c>
      <c r="CF101" s="364" t="s">
        <v>172</v>
      </c>
      <c r="CG101" s="368" t="s">
        <v>172</v>
      </c>
    </row>
    <row r="102" spans="31:85" ht="14.25">
      <c r="AE102" s="88"/>
      <c r="AF102" s="80"/>
      <c r="AG102" s="103"/>
      <c r="AH102" s="103">
        <f aca="true" t="shared" si="27" ref="AH102:AR102">AH64</f>
      </c>
      <c r="AI102" s="530"/>
      <c r="AJ102" s="531"/>
      <c r="AK102" s="103"/>
      <c r="AL102" s="532">
        <f t="shared" si="27"/>
        <v>0</v>
      </c>
      <c r="AM102" s="533"/>
      <c r="AN102" s="108">
        <f t="shared" si="27"/>
      </c>
      <c r="AO102" s="530">
        <f>AO64</f>
        <v>0</v>
      </c>
      <c r="AP102" s="531"/>
      <c r="AQ102" s="106">
        <f t="shared" si="27"/>
        <v>0</v>
      </c>
      <c r="AR102" s="107">
        <f t="shared" si="27"/>
      </c>
      <c r="AS102" s="42" t="s">
        <v>42</v>
      </c>
      <c r="AT102" s="62">
        <f t="shared" si="26"/>
      </c>
      <c r="AU102" s="41">
        <f t="shared" si="26"/>
      </c>
      <c r="AV102" s="71">
        <f t="shared" si="26"/>
      </c>
      <c r="BP102" s="293"/>
      <c r="BQ102" s="266"/>
      <c r="BR102" s="297"/>
      <c r="BS102" s="297" t="s">
        <v>172</v>
      </c>
      <c r="BT102" s="481"/>
      <c r="BU102" s="482"/>
      <c r="BV102" s="297"/>
      <c r="BW102" s="489" t="s">
        <v>172</v>
      </c>
      <c r="BX102" s="490"/>
      <c r="BY102" s="304" t="s">
        <v>172</v>
      </c>
      <c r="BZ102" s="481"/>
      <c r="CA102" s="482"/>
      <c r="CB102" s="300" t="s">
        <v>172</v>
      </c>
      <c r="CC102" s="301" t="s">
        <v>172</v>
      </c>
      <c r="CD102" s="366" t="s">
        <v>213</v>
      </c>
      <c r="CE102" s="376" t="s">
        <v>172</v>
      </c>
      <c r="CF102" s="377" t="s">
        <v>172</v>
      </c>
      <c r="CG102" s="378" t="s">
        <v>172</v>
      </c>
    </row>
    <row r="103" spans="31:85" ht="12">
      <c r="AE103" s="52"/>
      <c r="AF103" s="52"/>
      <c r="AG103" s="59"/>
      <c r="AH103" s="59"/>
      <c r="AI103" s="59"/>
      <c r="AJ103" s="59"/>
      <c r="AK103" s="59"/>
      <c r="AL103" s="59"/>
      <c r="AM103" s="59"/>
      <c r="AN103" s="59"/>
      <c r="AO103" s="59"/>
      <c r="AP103" s="59"/>
      <c r="AQ103" s="59"/>
      <c r="AR103" s="59"/>
      <c r="AS103" s="53"/>
      <c r="AT103" s="54"/>
      <c r="AU103" s="55"/>
      <c r="AV103" s="56"/>
      <c r="BP103" s="370"/>
      <c r="BQ103" s="370"/>
      <c r="BR103" s="371"/>
      <c r="BS103" s="371"/>
      <c r="BT103" s="371"/>
      <c r="BU103" s="371"/>
      <c r="BV103" s="371"/>
      <c r="BW103" s="371"/>
      <c r="BX103" s="371"/>
      <c r="BY103" s="371"/>
      <c r="BZ103" s="371"/>
      <c r="CA103" s="371"/>
      <c r="CB103" s="371"/>
      <c r="CC103" s="371"/>
      <c r="CD103" s="372"/>
      <c r="CE103" s="373"/>
      <c r="CF103" s="374"/>
      <c r="CG103" s="375"/>
    </row>
    <row r="104" spans="31:85" ht="12">
      <c r="AE104" s="63" t="s">
        <v>9</v>
      </c>
      <c r="AF104" s="63" t="s">
        <v>33</v>
      </c>
      <c r="AG104" s="64" t="s">
        <v>37</v>
      </c>
      <c r="AH104" s="64" t="s">
        <v>34</v>
      </c>
      <c r="AI104" s="538"/>
      <c r="AJ104" s="539"/>
      <c r="AK104" s="64"/>
      <c r="AL104" s="65" t="s">
        <v>35</v>
      </c>
      <c r="AM104" s="67"/>
      <c r="AN104" s="68" t="s">
        <v>11</v>
      </c>
      <c r="AO104" s="538" t="str">
        <f>IF($AO$106&gt;0,"雇用保険料","")</f>
        <v>雇用保険料</v>
      </c>
      <c r="AP104" s="539"/>
      <c r="AQ104" s="69" t="s">
        <v>35</v>
      </c>
      <c r="AR104" s="66" t="s">
        <v>36</v>
      </c>
      <c r="AS104" s="43" t="s">
        <v>38</v>
      </c>
      <c r="AT104" s="12">
        <f>$AT$65</f>
      </c>
      <c r="AU104" s="12"/>
      <c r="AV104" s="186">
        <f>+$AI$4-1</f>
        <v>4</v>
      </c>
      <c r="BP104" s="354" t="s">
        <v>192</v>
      </c>
      <c r="BQ104" s="354" t="s">
        <v>206</v>
      </c>
      <c r="BR104" s="355" t="s">
        <v>207</v>
      </c>
      <c r="BS104" s="355" t="s">
        <v>208</v>
      </c>
      <c r="BT104" s="491"/>
      <c r="BU104" s="492"/>
      <c r="BV104" s="355"/>
      <c r="BW104" s="356" t="s">
        <v>209</v>
      </c>
      <c r="BX104" s="358"/>
      <c r="BY104" s="359" t="s">
        <v>202</v>
      </c>
      <c r="BZ104" s="491"/>
      <c r="CA104" s="492"/>
      <c r="CB104" s="360" t="s">
        <v>209</v>
      </c>
      <c r="CC104" s="357" t="s">
        <v>210</v>
      </c>
      <c r="CD104" s="361" t="s">
        <v>211</v>
      </c>
      <c r="CE104" s="318" t="s">
        <v>172</v>
      </c>
      <c r="CF104" s="318"/>
      <c r="CG104" s="362">
        <v>3</v>
      </c>
    </row>
    <row r="105" spans="31:85" ht="14.25">
      <c r="AE105" s="88">
        <f>AE66</f>
      </c>
      <c r="AF105" s="574">
        <f>AF66</f>
      </c>
      <c r="AG105" s="97"/>
      <c r="AH105" s="97"/>
      <c r="AI105" s="530"/>
      <c r="AJ105" s="531"/>
      <c r="AK105" s="97"/>
      <c r="AL105" s="98"/>
      <c r="AM105" s="100"/>
      <c r="AN105" s="101"/>
      <c r="AO105" s="530">
        <f>AO66</f>
        <v>0</v>
      </c>
      <c r="AP105" s="531"/>
      <c r="AQ105" s="102"/>
      <c r="AR105" s="99"/>
      <c r="AS105" s="187" t="s">
        <v>215</v>
      </c>
      <c r="AT105" s="37">
        <f aca="true" t="shared" si="28" ref="AT105:AV107">AT66</f>
      </c>
      <c r="AU105" s="37">
        <f t="shared" si="28"/>
      </c>
      <c r="AV105" s="51">
        <f t="shared" si="28"/>
      </c>
      <c r="BP105" s="293" t="s">
        <v>172</v>
      </c>
      <c r="BQ105" s="479" t="s">
        <v>172</v>
      </c>
      <c r="BR105" s="284"/>
      <c r="BS105" s="284"/>
      <c r="BT105" s="481"/>
      <c r="BU105" s="482"/>
      <c r="BV105" s="284"/>
      <c r="BW105" s="285"/>
      <c r="BX105" s="287"/>
      <c r="BY105" s="288"/>
      <c r="BZ105" s="481"/>
      <c r="CA105" s="482"/>
      <c r="CB105" s="289"/>
      <c r="CC105" s="286"/>
      <c r="CD105" s="363" t="s">
        <v>215</v>
      </c>
      <c r="CE105" s="364" t="s">
        <v>172</v>
      </c>
      <c r="CF105" s="364" t="s">
        <v>172</v>
      </c>
      <c r="CG105" s="365" t="s">
        <v>172</v>
      </c>
    </row>
    <row r="106" spans="31:85" ht="14.25">
      <c r="AE106" s="88">
        <f>AE67</f>
      </c>
      <c r="AF106" s="575"/>
      <c r="AG106" s="97"/>
      <c r="AH106" s="97">
        <f>AH67</f>
      </c>
      <c r="AI106" s="530"/>
      <c r="AJ106" s="531"/>
      <c r="AK106" s="97"/>
      <c r="AL106" s="98"/>
      <c r="AM106" s="100"/>
      <c r="AN106" s="101"/>
      <c r="AO106" s="530">
        <f>AO67</f>
      </c>
      <c r="AP106" s="531"/>
      <c r="AQ106" s="102"/>
      <c r="AR106" s="99"/>
      <c r="AS106" s="42" t="s">
        <v>40</v>
      </c>
      <c r="AT106" s="38">
        <f t="shared" si="28"/>
      </c>
      <c r="AU106" s="37">
        <f t="shared" si="28"/>
      </c>
      <c r="AV106" s="70">
        <f t="shared" si="28"/>
      </c>
      <c r="BP106" s="293" t="s">
        <v>172</v>
      </c>
      <c r="BQ106" s="480"/>
      <c r="BR106" s="284"/>
      <c r="BS106" s="284" t="s">
        <v>172</v>
      </c>
      <c r="BT106" s="481"/>
      <c r="BU106" s="482"/>
      <c r="BV106" s="284"/>
      <c r="BW106" s="285"/>
      <c r="BX106" s="287"/>
      <c r="BY106" s="288"/>
      <c r="BZ106" s="481"/>
      <c r="CA106" s="482"/>
      <c r="CB106" s="289"/>
      <c r="CC106" s="286"/>
      <c r="CD106" s="366" t="s">
        <v>212</v>
      </c>
      <c r="CE106" s="367" t="s">
        <v>172</v>
      </c>
      <c r="CF106" s="364" t="s">
        <v>172</v>
      </c>
      <c r="CG106" s="368" t="s">
        <v>172</v>
      </c>
    </row>
    <row r="107" spans="31:85" ht="14.25">
      <c r="AE107" s="88"/>
      <c r="AF107" s="80"/>
      <c r="AG107" s="103"/>
      <c r="AH107" s="103">
        <f>AH68</f>
      </c>
      <c r="AI107" s="530"/>
      <c r="AJ107" s="531"/>
      <c r="AK107" s="103"/>
      <c r="AL107" s="532">
        <f>AL68</f>
        <v>0</v>
      </c>
      <c r="AM107" s="533"/>
      <c r="AN107" s="108">
        <f>AN68</f>
      </c>
      <c r="AO107" s="530">
        <f>AO68</f>
        <v>0</v>
      </c>
      <c r="AP107" s="531"/>
      <c r="AQ107" s="106">
        <f>AQ68</f>
        <v>0</v>
      </c>
      <c r="AR107" s="107">
        <f>AR68</f>
      </c>
      <c r="AS107" s="42" t="s">
        <v>42</v>
      </c>
      <c r="AT107" s="62">
        <f t="shared" si="28"/>
      </c>
      <c r="AU107" s="41">
        <f t="shared" si="28"/>
      </c>
      <c r="AV107" s="71">
        <f t="shared" si="28"/>
      </c>
      <c r="BP107" s="293"/>
      <c r="BQ107" s="266"/>
      <c r="BR107" s="297"/>
      <c r="BS107" s="297" t="s">
        <v>172</v>
      </c>
      <c r="BT107" s="481"/>
      <c r="BU107" s="482"/>
      <c r="BV107" s="297"/>
      <c r="BW107" s="489" t="s">
        <v>172</v>
      </c>
      <c r="BX107" s="490"/>
      <c r="BY107" s="304" t="s">
        <v>172</v>
      </c>
      <c r="BZ107" s="481"/>
      <c r="CA107" s="482"/>
      <c r="CB107" s="300" t="s">
        <v>172</v>
      </c>
      <c r="CC107" s="301" t="s">
        <v>172</v>
      </c>
      <c r="CD107" s="366" t="s">
        <v>213</v>
      </c>
      <c r="CE107" s="376" t="s">
        <v>172</v>
      </c>
      <c r="CF107" s="377" t="s">
        <v>172</v>
      </c>
      <c r="CG107" s="378" t="s">
        <v>172</v>
      </c>
    </row>
    <row r="108" spans="31:85" ht="12">
      <c r="AE108" s="52"/>
      <c r="AF108" s="52"/>
      <c r="AG108" s="59"/>
      <c r="AH108" s="59"/>
      <c r="AI108" s="59"/>
      <c r="AJ108" s="59"/>
      <c r="AK108" s="59"/>
      <c r="AL108" s="59"/>
      <c r="AM108" s="59"/>
      <c r="AN108" s="59"/>
      <c r="AO108" s="59"/>
      <c r="AP108" s="59"/>
      <c r="AQ108" s="59"/>
      <c r="AR108" s="59"/>
      <c r="AS108" s="53"/>
      <c r="AT108" s="54"/>
      <c r="AU108" s="55"/>
      <c r="AV108" s="56"/>
      <c r="BP108" s="370"/>
      <c r="BQ108" s="370"/>
      <c r="BR108" s="371"/>
      <c r="BS108" s="371"/>
      <c r="BT108" s="371"/>
      <c r="BU108" s="371"/>
      <c r="BV108" s="371"/>
      <c r="BW108" s="371"/>
      <c r="BX108" s="371"/>
      <c r="BY108" s="371"/>
      <c r="BZ108" s="371"/>
      <c r="CA108" s="371"/>
      <c r="CB108" s="371"/>
      <c r="CC108" s="371"/>
      <c r="CD108" s="372"/>
      <c r="CE108" s="373"/>
      <c r="CF108" s="374"/>
      <c r="CG108" s="375"/>
    </row>
    <row r="109" spans="31:85" ht="12">
      <c r="AE109" s="63" t="s">
        <v>9</v>
      </c>
      <c r="AF109" s="63" t="s">
        <v>33</v>
      </c>
      <c r="AG109" s="64" t="s">
        <v>37</v>
      </c>
      <c r="AH109" s="64" t="s">
        <v>34</v>
      </c>
      <c r="AI109" s="538"/>
      <c r="AJ109" s="539"/>
      <c r="AK109" s="64"/>
      <c r="AL109" s="65" t="s">
        <v>35</v>
      </c>
      <c r="AM109" s="67"/>
      <c r="AN109" s="68" t="s">
        <v>11</v>
      </c>
      <c r="AO109" s="538" t="str">
        <f>IF($AO$111&gt;0,"雇用保険料","")</f>
        <v>雇用保険料</v>
      </c>
      <c r="AP109" s="539"/>
      <c r="AQ109" s="69" t="s">
        <v>35</v>
      </c>
      <c r="AR109" s="66" t="s">
        <v>36</v>
      </c>
      <c r="AS109" s="43" t="s">
        <v>38</v>
      </c>
      <c r="AT109" s="12">
        <f>$AT$69</f>
      </c>
      <c r="AU109" s="12"/>
      <c r="AV109" s="186">
        <f>+$AI$4-1</f>
        <v>4</v>
      </c>
      <c r="BP109" s="354" t="s">
        <v>192</v>
      </c>
      <c r="BQ109" s="354" t="s">
        <v>206</v>
      </c>
      <c r="BR109" s="355" t="s">
        <v>207</v>
      </c>
      <c r="BS109" s="355" t="s">
        <v>208</v>
      </c>
      <c r="BT109" s="491"/>
      <c r="BU109" s="492"/>
      <c r="BV109" s="355"/>
      <c r="BW109" s="356" t="s">
        <v>209</v>
      </c>
      <c r="BX109" s="358"/>
      <c r="BY109" s="359" t="s">
        <v>202</v>
      </c>
      <c r="BZ109" s="491"/>
      <c r="CA109" s="492"/>
      <c r="CB109" s="360" t="s">
        <v>209</v>
      </c>
      <c r="CC109" s="357" t="s">
        <v>210</v>
      </c>
      <c r="CD109" s="361" t="s">
        <v>211</v>
      </c>
      <c r="CE109" s="318" t="s">
        <v>172</v>
      </c>
      <c r="CF109" s="318"/>
      <c r="CG109" s="362">
        <v>3</v>
      </c>
    </row>
    <row r="110" spans="31:85" ht="14.25">
      <c r="AE110" s="88">
        <f>AE70</f>
      </c>
      <c r="AF110" s="574">
        <f>AF70</f>
      </c>
      <c r="AG110" s="97"/>
      <c r="AH110" s="97"/>
      <c r="AI110" s="530"/>
      <c r="AJ110" s="531"/>
      <c r="AK110" s="97"/>
      <c r="AL110" s="98"/>
      <c r="AM110" s="100"/>
      <c r="AN110" s="101"/>
      <c r="AO110" s="530">
        <f>AO70</f>
        <v>0</v>
      </c>
      <c r="AP110" s="531"/>
      <c r="AQ110" s="102"/>
      <c r="AR110" s="99"/>
      <c r="AS110" s="187" t="s">
        <v>215</v>
      </c>
      <c r="AT110" s="37">
        <f aca="true" t="shared" si="29" ref="AT110:AV112">AT70</f>
      </c>
      <c r="AU110" s="37">
        <f t="shared" si="29"/>
      </c>
      <c r="AV110" s="51">
        <f t="shared" si="29"/>
      </c>
      <c r="BP110" s="293" t="s">
        <v>172</v>
      </c>
      <c r="BQ110" s="479" t="s">
        <v>172</v>
      </c>
      <c r="BR110" s="284"/>
      <c r="BS110" s="284"/>
      <c r="BT110" s="481"/>
      <c r="BU110" s="482"/>
      <c r="BV110" s="284"/>
      <c r="BW110" s="285"/>
      <c r="BX110" s="287"/>
      <c r="BY110" s="288"/>
      <c r="BZ110" s="481"/>
      <c r="CA110" s="482"/>
      <c r="CB110" s="289"/>
      <c r="CC110" s="286"/>
      <c r="CD110" s="363" t="s">
        <v>215</v>
      </c>
      <c r="CE110" s="364" t="s">
        <v>172</v>
      </c>
      <c r="CF110" s="364" t="s">
        <v>172</v>
      </c>
      <c r="CG110" s="365" t="s">
        <v>172</v>
      </c>
    </row>
    <row r="111" spans="31:85" ht="14.25">
      <c r="AE111" s="88">
        <f>AE71</f>
      </c>
      <c r="AF111" s="575"/>
      <c r="AG111" s="97"/>
      <c r="AH111" s="97">
        <f>AH71</f>
      </c>
      <c r="AI111" s="530"/>
      <c r="AJ111" s="531"/>
      <c r="AK111" s="97"/>
      <c r="AL111" s="98"/>
      <c r="AM111" s="100"/>
      <c r="AN111" s="101"/>
      <c r="AO111" s="530">
        <f>AO71</f>
      </c>
      <c r="AP111" s="531"/>
      <c r="AQ111" s="102"/>
      <c r="AR111" s="99"/>
      <c r="AS111" s="42" t="s">
        <v>40</v>
      </c>
      <c r="AT111" s="38">
        <f t="shared" si="29"/>
      </c>
      <c r="AU111" s="37">
        <f t="shared" si="29"/>
      </c>
      <c r="AV111" s="70">
        <f t="shared" si="29"/>
      </c>
      <c r="BP111" s="293" t="s">
        <v>172</v>
      </c>
      <c r="BQ111" s="480"/>
      <c r="BR111" s="284"/>
      <c r="BS111" s="284" t="s">
        <v>172</v>
      </c>
      <c r="BT111" s="481"/>
      <c r="BU111" s="482"/>
      <c r="BV111" s="284"/>
      <c r="BW111" s="285"/>
      <c r="BX111" s="287"/>
      <c r="BY111" s="288"/>
      <c r="BZ111" s="481"/>
      <c r="CA111" s="482"/>
      <c r="CB111" s="289"/>
      <c r="CC111" s="286"/>
      <c r="CD111" s="366" t="s">
        <v>212</v>
      </c>
      <c r="CE111" s="367" t="s">
        <v>172</v>
      </c>
      <c r="CF111" s="364" t="s">
        <v>172</v>
      </c>
      <c r="CG111" s="368" t="s">
        <v>172</v>
      </c>
    </row>
    <row r="112" spans="31:85" ht="14.25">
      <c r="AE112" s="80"/>
      <c r="AF112" s="80"/>
      <c r="AG112" s="103"/>
      <c r="AH112" s="103">
        <f>AH72</f>
      </c>
      <c r="AI112" s="532"/>
      <c r="AJ112" s="540"/>
      <c r="AK112" s="103"/>
      <c r="AL112" s="532">
        <f>AL72</f>
        <v>0</v>
      </c>
      <c r="AM112" s="533"/>
      <c r="AN112" s="108">
        <f>AN72</f>
      </c>
      <c r="AO112" s="532">
        <f>AO72</f>
        <v>0</v>
      </c>
      <c r="AP112" s="540"/>
      <c r="AQ112" s="106">
        <f>AQ72</f>
        <v>0</v>
      </c>
      <c r="AR112" s="107">
        <f>AR72</f>
      </c>
      <c r="AS112" s="76" t="s">
        <v>42</v>
      </c>
      <c r="AT112" s="62">
        <f t="shared" si="29"/>
      </c>
      <c r="AU112" s="41">
        <f t="shared" si="29"/>
      </c>
      <c r="AV112" s="71">
        <f t="shared" si="29"/>
      </c>
      <c r="BP112" s="266"/>
      <c r="BQ112" s="266"/>
      <c r="BR112" s="297"/>
      <c r="BS112" s="297" t="s">
        <v>172</v>
      </c>
      <c r="BT112" s="489"/>
      <c r="BU112" s="493"/>
      <c r="BV112" s="297"/>
      <c r="BW112" s="489" t="s">
        <v>172</v>
      </c>
      <c r="BX112" s="490"/>
      <c r="BY112" s="304" t="s">
        <v>172</v>
      </c>
      <c r="BZ112" s="489"/>
      <c r="CA112" s="493"/>
      <c r="CB112" s="300" t="s">
        <v>172</v>
      </c>
      <c r="CC112" s="301" t="s">
        <v>172</v>
      </c>
      <c r="CD112" s="379" t="s">
        <v>213</v>
      </c>
      <c r="CE112" s="376" t="s">
        <v>172</v>
      </c>
      <c r="CF112" s="377" t="s">
        <v>172</v>
      </c>
      <c r="CG112" s="378" t="s">
        <v>172</v>
      </c>
    </row>
  </sheetData>
  <sheetProtection/>
  <mergeCells count="508">
    <mergeCell ref="AS25:AS28"/>
    <mergeCell ref="AS29:AS32"/>
    <mergeCell ref="S40:Z41"/>
    <mergeCell ref="S49:Z50"/>
    <mergeCell ref="AI32:AJ32"/>
    <mergeCell ref="AI33:AJ33"/>
    <mergeCell ref="AI34:AJ34"/>
    <mergeCell ref="AI35:AJ35"/>
    <mergeCell ref="AI36:AJ36"/>
    <mergeCell ref="AI37:AJ37"/>
    <mergeCell ref="C5:G5"/>
    <mergeCell ref="C6:G6"/>
    <mergeCell ref="C7:G7"/>
    <mergeCell ref="C8:G8"/>
    <mergeCell ref="J6:K6"/>
    <mergeCell ref="J7:K7"/>
    <mergeCell ref="J8:K8"/>
    <mergeCell ref="AI65:AJ65"/>
    <mergeCell ref="AI66:AJ66"/>
    <mergeCell ref="C9:G9"/>
    <mergeCell ref="S13:Z14"/>
    <mergeCell ref="S22:Z23"/>
    <mergeCell ref="S31:Z32"/>
    <mergeCell ref="J9:K9"/>
    <mergeCell ref="L9:M9"/>
    <mergeCell ref="AE51:AE52"/>
    <mergeCell ref="AH51:AK51"/>
    <mergeCell ref="N6:O6"/>
    <mergeCell ref="N7:O7"/>
    <mergeCell ref="AF90:AF91"/>
    <mergeCell ref="AF66:AF67"/>
    <mergeCell ref="AF78:AF79"/>
    <mergeCell ref="AI1:AK1"/>
    <mergeCell ref="U3:W3"/>
    <mergeCell ref="X3:Z3"/>
    <mergeCell ref="AA3:AC3"/>
    <mergeCell ref="AI4:AJ4"/>
    <mergeCell ref="L2:O2"/>
    <mergeCell ref="C4:G4"/>
    <mergeCell ref="AE1:AF1"/>
    <mergeCell ref="A3:G3"/>
    <mergeCell ref="H2:J2"/>
    <mergeCell ref="AL107:AM107"/>
    <mergeCell ref="N5:O5"/>
    <mergeCell ref="N8:O8"/>
    <mergeCell ref="N9:O9"/>
    <mergeCell ref="AF100:AF101"/>
    <mergeCell ref="AL112:AM112"/>
    <mergeCell ref="AF95:AF96"/>
    <mergeCell ref="L6:M6"/>
    <mergeCell ref="L7:M7"/>
    <mergeCell ref="L8:M8"/>
    <mergeCell ref="J4:K4"/>
    <mergeCell ref="L4:M4"/>
    <mergeCell ref="N4:O4"/>
    <mergeCell ref="J5:K5"/>
    <mergeCell ref="L5:M5"/>
    <mergeCell ref="AS13:AS16"/>
    <mergeCell ref="AE11:AE12"/>
    <mergeCell ref="AO13:AP13"/>
    <mergeCell ref="AL11:AM11"/>
    <mergeCell ref="AF11:AF12"/>
    <mergeCell ref="AI8:AJ8"/>
    <mergeCell ref="AO9:AP9"/>
    <mergeCell ref="AL12:AM12"/>
    <mergeCell ref="AO7:AP7"/>
    <mergeCell ref="AO8:AP8"/>
    <mergeCell ref="AL16:AM16"/>
    <mergeCell ref="AO6:AP6"/>
    <mergeCell ref="AN11:AQ11"/>
    <mergeCell ref="AI12:AJ12"/>
    <mergeCell ref="AI13:AJ13"/>
    <mergeCell ref="AI9:AJ9"/>
    <mergeCell ref="AI6:AJ6"/>
    <mergeCell ref="AI7:AJ7"/>
    <mergeCell ref="AF105:AF106"/>
    <mergeCell ref="AF110:AF111"/>
    <mergeCell ref="AF82:AF83"/>
    <mergeCell ref="AT51:AV52"/>
    <mergeCell ref="AF54:AF55"/>
    <mergeCell ref="AF58:AF59"/>
    <mergeCell ref="AF62:AF63"/>
    <mergeCell ref="AI55:AJ55"/>
    <mergeCell ref="AS51:AS52"/>
    <mergeCell ref="AF51:AF52"/>
    <mergeCell ref="AF70:AF71"/>
    <mergeCell ref="AI58:AJ58"/>
    <mergeCell ref="AI59:AJ59"/>
    <mergeCell ref="AI60:AJ60"/>
    <mergeCell ref="AI64:AJ64"/>
    <mergeCell ref="AI67:AJ67"/>
    <mergeCell ref="AI68:AJ68"/>
    <mergeCell ref="AI69:AJ69"/>
    <mergeCell ref="AI70:AJ70"/>
    <mergeCell ref="AI71:AJ71"/>
    <mergeCell ref="AT11:AV12"/>
    <mergeCell ref="AF38:AF39"/>
    <mergeCell ref="AF42:AF43"/>
    <mergeCell ref="AS11:AS12"/>
    <mergeCell ref="AH11:AK11"/>
    <mergeCell ref="AS21:AS24"/>
    <mergeCell ref="AS17:AS20"/>
    <mergeCell ref="AO20:AP20"/>
    <mergeCell ref="AO16:AP16"/>
    <mergeCell ref="AO17:AP17"/>
    <mergeCell ref="AO18:AP18"/>
    <mergeCell ref="AO19:AP19"/>
    <mergeCell ref="AO12:AP12"/>
    <mergeCell ref="AO14:AP14"/>
    <mergeCell ref="AO15:AP15"/>
    <mergeCell ref="AL20:AM20"/>
    <mergeCell ref="AI21:AJ21"/>
    <mergeCell ref="AI18:AJ18"/>
    <mergeCell ref="AI19:AJ19"/>
    <mergeCell ref="AI14:AJ14"/>
    <mergeCell ref="AI29:AJ29"/>
    <mergeCell ref="AI17:AJ17"/>
    <mergeCell ref="AI30:AJ30"/>
    <mergeCell ref="AI24:AJ24"/>
    <mergeCell ref="AI22:AJ22"/>
    <mergeCell ref="AI15:AJ15"/>
    <mergeCell ref="AI23:AJ23"/>
    <mergeCell ref="AL24:AM24"/>
    <mergeCell ref="AI25:AJ25"/>
    <mergeCell ref="AI26:AJ26"/>
    <mergeCell ref="AI20:AJ20"/>
    <mergeCell ref="AI16:AJ16"/>
    <mergeCell ref="AI31:AJ31"/>
    <mergeCell ref="AI38:AJ38"/>
    <mergeCell ref="AI39:AJ39"/>
    <mergeCell ref="AI40:AJ40"/>
    <mergeCell ref="AI41:AJ41"/>
    <mergeCell ref="AI42:AJ42"/>
    <mergeCell ref="AI43:AJ43"/>
    <mergeCell ref="AI44:AJ44"/>
    <mergeCell ref="AO21:AP21"/>
    <mergeCell ref="AO22:AP22"/>
    <mergeCell ref="AO23:AP23"/>
    <mergeCell ref="AO24:AP24"/>
    <mergeCell ref="AO25:AP25"/>
    <mergeCell ref="AO26:AP26"/>
    <mergeCell ref="AO27:AP27"/>
    <mergeCell ref="AO28:AP28"/>
    <mergeCell ref="AO29:AP29"/>
    <mergeCell ref="AO30:AP30"/>
    <mergeCell ref="AO31:AP31"/>
    <mergeCell ref="AO32:AP32"/>
    <mergeCell ref="AO33:AP33"/>
    <mergeCell ref="AO34:AP34"/>
    <mergeCell ref="AO35:AP35"/>
    <mergeCell ref="AO36:AP36"/>
    <mergeCell ref="AO37:AP37"/>
    <mergeCell ref="AO38:AP38"/>
    <mergeCell ref="AO39:AP39"/>
    <mergeCell ref="AO40:AP40"/>
    <mergeCell ref="AO54:AP54"/>
    <mergeCell ref="AO41:AP41"/>
    <mergeCell ref="AO42:AP42"/>
    <mergeCell ref="AO43:AP43"/>
    <mergeCell ref="AO44:AP44"/>
    <mergeCell ref="AO49:AR49"/>
    <mergeCell ref="AN51:AQ51"/>
    <mergeCell ref="AO53:AP53"/>
    <mergeCell ref="AO52:AP52"/>
    <mergeCell ref="AI47:AJ47"/>
    <mergeCell ref="AI61:AJ61"/>
    <mergeCell ref="AI62:AJ62"/>
    <mergeCell ref="AI63:AJ63"/>
    <mergeCell ref="AI52:AJ52"/>
    <mergeCell ref="AI53:AJ53"/>
    <mergeCell ref="AI54:AJ54"/>
    <mergeCell ref="AI56:AJ56"/>
    <mergeCell ref="AI57:AJ57"/>
    <mergeCell ref="AI72:AJ72"/>
    <mergeCell ref="AI73:AJ73"/>
    <mergeCell ref="AI74:AJ74"/>
    <mergeCell ref="AI75:AJ75"/>
    <mergeCell ref="AI76:AJ76"/>
    <mergeCell ref="AI77:AJ77"/>
    <mergeCell ref="AI78:AJ78"/>
    <mergeCell ref="AI79:AJ79"/>
    <mergeCell ref="AI80:AJ80"/>
    <mergeCell ref="AI81:AJ81"/>
    <mergeCell ref="AI82:AJ82"/>
    <mergeCell ref="AI83:AJ83"/>
    <mergeCell ref="AI84:AJ84"/>
    <mergeCell ref="AO55:AP55"/>
    <mergeCell ref="AO56:AP56"/>
    <mergeCell ref="AO57:AP57"/>
    <mergeCell ref="AO58:AP58"/>
    <mergeCell ref="AO59:AP59"/>
    <mergeCell ref="AO60:AP60"/>
    <mergeCell ref="AO61:AP61"/>
    <mergeCell ref="AO62:AP62"/>
    <mergeCell ref="AO63:AP63"/>
    <mergeCell ref="AO64:AP64"/>
    <mergeCell ref="AO65:AP65"/>
    <mergeCell ref="AO66:AP66"/>
    <mergeCell ref="AO67:AP67"/>
    <mergeCell ref="AO68:AP68"/>
    <mergeCell ref="AO69:AP69"/>
    <mergeCell ref="AO70:AP70"/>
    <mergeCell ref="AO71:AP71"/>
    <mergeCell ref="AO72:AP72"/>
    <mergeCell ref="AO73:AP73"/>
    <mergeCell ref="AO74:AP74"/>
    <mergeCell ref="AO75:AP75"/>
    <mergeCell ref="AO76:AP76"/>
    <mergeCell ref="AO77:AP77"/>
    <mergeCell ref="AO78:AP78"/>
    <mergeCell ref="AO79:AP79"/>
    <mergeCell ref="AO95:AP95"/>
    <mergeCell ref="AO96:AP96"/>
    <mergeCell ref="AO80:AP80"/>
    <mergeCell ref="AO81:AP81"/>
    <mergeCell ref="AO82:AP82"/>
    <mergeCell ref="AO83:AP83"/>
    <mergeCell ref="AO84:AP84"/>
    <mergeCell ref="AO89:AP89"/>
    <mergeCell ref="AI90:AJ90"/>
    <mergeCell ref="AI91:AJ91"/>
    <mergeCell ref="AI92:AJ92"/>
    <mergeCell ref="AI94:AJ94"/>
    <mergeCell ref="AO90:AP90"/>
    <mergeCell ref="AO91:AP91"/>
    <mergeCell ref="AO92:AP92"/>
    <mergeCell ref="AO94:AP94"/>
    <mergeCell ref="AI106:AJ106"/>
    <mergeCell ref="AI107:AJ107"/>
    <mergeCell ref="AI109:AJ109"/>
    <mergeCell ref="AI95:AJ95"/>
    <mergeCell ref="AI96:AJ96"/>
    <mergeCell ref="AI97:AJ97"/>
    <mergeCell ref="AI99:AJ99"/>
    <mergeCell ref="AI100:AJ100"/>
    <mergeCell ref="AI101:AJ101"/>
    <mergeCell ref="AI110:AJ110"/>
    <mergeCell ref="AI111:AJ111"/>
    <mergeCell ref="AI112:AJ112"/>
    <mergeCell ref="AL60:AM60"/>
    <mergeCell ref="AL52:AM52"/>
    <mergeCell ref="AL68:AM68"/>
    <mergeCell ref="AL72:AM72"/>
    <mergeCell ref="AL102:AM102"/>
    <mergeCell ref="AL92:AM92"/>
    <mergeCell ref="AL97:AM97"/>
    <mergeCell ref="AO106:AP106"/>
    <mergeCell ref="AO107:AP107"/>
    <mergeCell ref="AO111:AP111"/>
    <mergeCell ref="AO112:AP112"/>
    <mergeCell ref="AO109:AP109"/>
    <mergeCell ref="AO110:AP110"/>
    <mergeCell ref="AL44:AM44"/>
    <mergeCell ref="AO104:AP104"/>
    <mergeCell ref="AI102:AJ102"/>
    <mergeCell ref="AI104:AJ104"/>
    <mergeCell ref="AO97:AP97"/>
    <mergeCell ref="AO99:AP99"/>
    <mergeCell ref="AO100:AP100"/>
    <mergeCell ref="AO101:AP101"/>
    <mergeCell ref="AO102:AP102"/>
    <mergeCell ref="AI89:AJ89"/>
    <mergeCell ref="AO105:AP105"/>
    <mergeCell ref="AL28:AM28"/>
    <mergeCell ref="AI27:AJ27"/>
    <mergeCell ref="AI28:AJ28"/>
    <mergeCell ref="AL32:AM32"/>
    <mergeCell ref="AL64:AM64"/>
    <mergeCell ref="AL84:AM84"/>
    <mergeCell ref="AL51:AM51"/>
    <mergeCell ref="AL56:AM56"/>
    <mergeCell ref="AI105:AJ105"/>
    <mergeCell ref="BT4:BU4"/>
    <mergeCell ref="BT6:BU6"/>
    <mergeCell ref="BZ6:CA6"/>
    <mergeCell ref="BT7:BU7"/>
    <mergeCell ref="BZ7:CA7"/>
    <mergeCell ref="BT8:BU8"/>
    <mergeCell ref="BZ8:CA8"/>
    <mergeCell ref="BT9:BU9"/>
    <mergeCell ref="BZ9:CA9"/>
    <mergeCell ref="BP11:BP12"/>
    <mergeCell ref="BQ11:BQ12"/>
    <mergeCell ref="BS11:BV11"/>
    <mergeCell ref="BW11:BX11"/>
    <mergeCell ref="BY11:CB11"/>
    <mergeCell ref="CD11:CD12"/>
    <mergeCell ref="CE11:CG12"/>
    <mergeCell ref="BT12:BU12"/>
    <mergeCell ref="BW12:BX12"/>
    <mergeCell ref="BZ12:CA12"/>
    <mergeCell ref="BT13:BU13"/>
    <mergeCell ref="BZ13:CA13"/>
    <mergeCell ref="CD13:CD16"/>
    <mergeCell ref="BT14:BU14"/>
    <mergeCell ref="BZ14:CA14"/>
    <mergeCell ref="BT15:BU15"/>
    <mergeCell ref="BZ15:CA15"/>
    <mergeCell ref="BT16:BU16"/>
    <mergeCell ref="BW16:BX16"/>
    <mergeCell ref="BZ16:CA16"/>
    <mergeCell ref="BT17:BU17"/>
    <mergeCell ref="BZ17:CA17"/>
    <mergeCell ref="CD17:CD20"/>
    <mergeCell ref="BT18:BU18"/>
    <mergeCell ref="BZ18:CA18"/>
    <mergeCell ref="BT19:BU19"/>
    <mergeCell ref="BZ19:CA19"/>
    <mergeCell ref="BT20:BU20"/>
    <mergeCell ref="BW20:BX20"/>
    <mergeCell ref="BZ20:CA20"/>
    <mergeCell ref="BT21:BU21"/>
    <mergeCell ref="BZ21:CA21"/>
    <mergeCell ref="CD21:CD24"/>
    <mergeCell ref="BT22:BU22"/>
    <mergeCell ref="BZ22:CA22"/>
    <mergeCell ref="BT23:BU23"/>
    <mergeCell ref="BZ23:CA23"/>
    <mergeCell ref="BT24:BU24"/>
    <mergeCell ref="BW24:BX24"/>
    <mergeCell ref="BZ24:CA24"/>
    <mergeCell ref="BT25:BU25"/>
    <mergeCell ref="BZ25:CA25"/>
    <mergeCell ref="BT26:BU26"/>
    <mergeCell ref="BZ26:CA26"/>
    <mergeCell ref="BT27:BU27"/>
    <mergeCell ref="BZ27:CA27"/>
    <mergeCell ref="BT28:BU28"/>
    <mergeCell ref="BW28:BX28"/>
    <mergeCell ref="BZ28:CA28"/>
    <mergeCell ref="BT29:BU29"/>
    <mergeCell ref="BZ29:CA29"/>
    <mergeCell ref="BT30:BU30"/>
    <mergeCell ref="BZ30:CA30"/>
    <mergeCell ref="BT31:BU31"/>
    <mergeCell ref="BZ31:CA31"/>
    <mergeCell ref="BT32:BU32"/>
    <mergeCell ref="BW32:BX32"/>
    <mergeCell ref="BZ32:CA32"/>
    <mergeCell ref="BT33:BU33"/>
    <mergeCell ref="BZ33:CA33"/>
    <mergeCell ref="BT34:BU34"/>
    <mergeCell ref="BZ34:CA34"/>
    <mergeCell ref="BT35:BU35"/>
    <mergeCell ref="BZ35:CA35"/>
    <mergeCell ref="BT36:BU36"/>
    <mergeCell ref="BZ36:CA36"/>
    <mergeCell ref="BT37:BU37"/>
    <mergeCell ref="BZ37:CA37"/>
    <mergeCell ref="BQ38:BQ39"/>
    <mergeCell ref="BT38:BU38"/>
    <mergeCell ref="BZ38:CA38"/>
    <mergeCell ref="BT39:BU39"/>
    <mergeCell ref="BZ39:CA39"/>
    <mergeCell ref="BT40:BU40"/>
    <mergeCell ref="BZ40:CA40"/>
    <mergeCell ref="BT41:BU41"/>
    <mergeCell ref="BZ41:CA41"/>
    <mergeCell ref="BQ42:BQ43"/>
    <mergeCell ref="BT42:BU42"/>
    <mergeCell ref="BZ42:CA42"/>
    <mergeCell ref="BT43:BU43"/>
    <mergeCell ref="BZ43:CA43"/>
    <mergeCell ref="BT44:BU44"/>
    <mergeCell ref="BW44:BX44"/>
    <mergeCell ref="BZ44:CA44"/>
    <mergeCell ref="BT47:BU47"/>
    <mergeCell ref="BZ49:CC49"/>
    <mergeCell ref="BP51:BP52"/>
    <mergeCell ref="BQ51:BQ52"/>
    <mergeCell ref="BS51:BV51"/>
    <mergeCell ref="BW51:BX51"/>
    <mergeCell ref="BY51:CB51"/>
    <mergeCell ref="CD51:CD52"/>
    <mergeCell ref="CE51:CG52"/>
    <mergeCell ref="BT52:BU52"/>
    <mergeCell ref="BW52:BX52"/>
    <mergeCell ref="BZ52:CA52"/>
    <mergeCell ref="BT53:BU53"/>
    <mergeCell ref="BZ53:CA53"/>
    <mergeCell ref="BQ54:BQ55"/>
    <mergeCell ref="BT54:BU54"/>
    <mergeCell ref="BZ54:CA54"/>
    <mergeCell ref="BT55:BU55"/>
    <mergeCell ref="BZ55:CA55"/>
    <mergeCell ref="BT56:BU56"/>
    <mergeCell ref="BW56:BX56"/>
    <mergeCell ref="BZ56:CA56"/>
    <mergeCell ref="BT57:BU57"/>
    <mergeCell ref="BZ57:CA57"/>
    <mergeCell ref="BQ58:BQ59"/>
    <mergeCell ref="BT58:BU58"/>
    <mergeCell ref="BZ58:CA58"/>
    <mergeCell ref="BT59:BU59"/>
    <mergeCell ref="BZ59:CA59"/>
    <mergeCell ref="BT60:BU60"/>
    <mergeCell ref="BW60:BX60"/>
    <mergeCell ref="BZ60:CA60"/>
    <mergeCell ref="BT61:BU61"/>
    <mergeCell ref="BZ61:CA61"/>
    <mergeCell ref="BQ62:BQ63"/>
    <mergeCell ref="BT62:BU62"/>
    <mergeCell ref="BZ62:CA62"/>
    <mergeCell ref="BT63:BU63"/>
    <mergeCell ref="BZ63:CA63"/>
    <mergeCell ref="BT64:BU64"/>
    <mergeCell ref="BW64:BX64"/>
    <mergeCell ref="BZ64:CA64"/>
    <mergeCell ref="BT65:BU65"/>
    <mergeCell ref="BZ65:CA65"/>
    <mergeCell ref="BQ66:BQ67"/>
    <mergeCell ref="BT66:BU66"/>
    <mergeCell ref="BZ66:CA66"/>
    <mergeCell ref="BT67:BU67"/>
    <mergeCell ref="BZ67:CA67"/>
    <mergeCell ref="BT68:BU68"/>
    <mergeCell ref="BW68:BX68"/>
    <mergeCell ref="BZ68:CA68"/>
    <mergeCell ref="BT69:BU69"/>
    <mergeCell ref="BZ69:CA69"/>
    <mergeCell ref="BQ70:BQ71"/>
    <mergeCell ref="BT70:BU70"/>
    <mergeCell ref="BZ70:CA70"/>
    <mergeCell ref="BT71:BU71"/>
    <mergeCell ref="BZ71:CA71"/>
    <mergeCell ref="BT72:BU72"/>
    <mergeCell ref="BW72:BX72"/>
    <mergeCell ref="BZ72:CA72"/>
    <mergeCell ref="BT73:BU73"/>
    <mergeCell ref="BZ73:CA73"/>
    <mergeCell ref="BT74:BU74"/>
    <mergeCell ref="BZ74:CA74"/>
    <mergeCell ref="BT75:BU75"/>
    <mergeCell ref="BZ75:CA75"/>
    <mergeCell ref="BT76:BU76"/>
    <mergeCell ref="BZ76:CA76"/>
    <mergeCell ref="BT77:BU77"/>
    <mergeCell ref="BZ77:CA77"/>
    <mergeCell ref="BQ78:BQ79"/>
    <mergeCell ref="BT78:BU78"/>
    <mergeCell ref="BZ78:CA78"/>
    <mergeCell ref="BT79:BU79"/>
    <mergeCell ref="BZ79:CA79"/>
    <mergeCell ref="BT80:BU80"/>
    <mergeCell ref="BZ80:CA80"/>
    <mergeCell ref="BT81:BU81"/>
    <mergeCell ref="BZ81:CA81"/>
    <mergeCell ref="BQ82:BQ83"/>
    <mergeCell ref="BT82:BU82"/>
    <mergeCell ref="BZ82:CA82"/>
    <mergeCell ref="BT83:BU83"/>
    <mergeCell ref="BZ83:CA83"/>
    <mergeCell ref="BT84:BU84"/>
    <mergeCell ref="BW84:BX84"/>
    <mergeCell ref="BZ84:CA84"/>
    <mergeCell ref="BT89:BU89"/>
    <mergeCell ref="BZ89:CA89"/>
    <mergeCell ref="BQ90:BQ91"/>
    <mergeCell ref="BT90:BU90"/>
    <mergeCell ref="BZ90:CA90"/>
    <mergeCell ref="BT91:BU91"/>
    <mergeCell ref="BZ91:CA91"/>
    <mergeCell ref="BT92:BU92"/>
    <mergeCell ref="BW92:BX92"/>
    <mergeCell ref="BZ92:CA92"/>
    <mergeCell ref="BT94:BU94"/>
    <mergeCell ref="BZ94:CA94"/>
    <mergeCell ref="BQ95:BQ96"/>
    <mergeCell ref="BT95:BU95"/>
    <mergeCell ref="BZ95:CA95"/>
    <mergeCell ref="BT96:BU96"/>
    <mergeCell ref="BZ96:CA96"/>
    <mergeCell ref="BT97:BU97"/>
    <mergeCell ref="BW97:BX97"/>
    <mergeCell ref="BZ97:CA97"/>
    <mergeCell ref="BT99:BU99"/>
    <mergeCell ref="BZ99:CA99"/>
    <mergeCell ref="BQ100:BQ101"/>
    <mergeCell ref="BT100:BU100"/>
    <mergeCell ref="BZ100:CA100"/>
    <mergeCell ref="BT101:BU101"/>
    <mergeCell ref="BZ101:CA101"/>
    <mergeCell ref="BT102:BU102"/>
    <mergeCell ref="BW102:BX102"/>
    <mergeCell ref="BZ102:CA102"/>
    <mergeCell ref="BT104:BU104"/>
    <mergeCell ref="BZ104:CA104"/>
    <mergeCell ref="BQ105:BQ106"/>
    <mergeCell ref="BT105:BU105"/>
    <mergeCell ref="BZ105:CA105"/>
    <mergeCell ref="BT106:BU106"/>
    <mergeCell ref="BZ106:CA106"/>
    <mergeCell ref="BZ107:CA107"/>
    <mergeCell ref="BT109:BU109"/>
    <mergeCell ref="BZ109:CA109"/>
    <mergeCell ref="BT112:BU112"/>
    <mergeCell ref="BW112:BX112"/>
    <mergeCell ref="BZ112:CA112"/>
    <mergeCell ref="BQ110:BQ111"/>
    <mergeCell ref="BT110:BU110"/>
    <mergeCell ref="BZ110:CA110"/>
    <mergeCell ref="BT111:BU111"/>
    <mergeCell ref="BZ111:CA111"/>
    <mergeCell ref="AT13:AV13"/>
    <mergeCell ref="AT53:AV53"/>
    <mergeCell ref="AT89:AU89"/>
    <mergeCell ref="BT107:BU107"/>
    <mergeCell ref="BW107:BX107"/>
  </mergeCells>
  <conditionalFormatting sqref="A24">
    <cfRule type="cellIs" priority="1" dxfId="2" operator="equal" stopIfTrue="1">
      <formula>"予算残が２０％以下になっています"</formula>
    </cfRule>
  </conditionalFormatting>
  <conditionalFormatting sqref="S13:Z14 S22:Z23 S31:Z32 S40:Z41 S49:Z50">
    <cfRule type="cellIs" priority="2" dxfId="2" operator="equal" stopIfTrue="1">
      <formula>"予算残が２０％以下になっています"</formula>
    </cfRule>
    <cfRule type="cellIs" priority="3" dxfId="1" operator="equal" stopIfTrue="1">
      <formula>"予算残が１０％以下になっています"</formula>
    </cfRule>
    <cfRule type="cellIs" priority="4" dxfId="9" operator="equal" stopIfTrue="1">
      <formula>"予算を超えています"</formula>
    </cfRule>
  </conditionalFormatting>
  <dataValidations count="1">
    <dataValidation type="list" allowBlank="1" showInputMessage="1" showErrorMessage="1" sqref="AD5:AD9">
      <formula1>"○"</formula1>
    </dataValidation>
  </dataValidations>
  <printOptions horizontalCentered="1" verticalCentered="1"/>
  <pageMargins left="0.78" right="0.57" top="0.54" bottom="0.21" header="0.29" footer="0.21"/>
  <pageSetup blackAndWhite="1" horizontalDpi="600" verticalDpi="600" orientation="landscape" paperSize="9" scale="95" r:id="rId3"/>
  <rowBreaks count="2" manualBreakCount="2">
    <brk id="44" max="255" man="1"/>
    <brk id="84" max="255" man="1"/>
  </rowBreaks>
  <legacyDrawing r:id="rId2"/>
</worksheet>
</file>

<file path=xl/worksheets/sheet3.xml><?xml version="1.0" encoding="utf-8"?>
<worksheet xmlns="http://schemas.openxmlformats.org/spreadsheetml/2006/main" xmlns:r="http://schemas.openxmlformats.org/officeDocument/2006/relationships">
  <dimension ref="A1:AW117"/>
  <sheetViews>
    <sheetView showGridLines="0" showZeros="0" zoomScale="75" zoomScaleNormal="75" zoomScalePageLayoutView="0" workbookViewId="0" topLeftCell="A1">
      <selection activeCell="AE4" sqref="AE4"/>
    </sheetView>
  </sheetViews>
  <sheetFormatPr defaultColWidth="9.00390625" defaultRowHeight="12.75"/>
  <cols>
    <col min="1" max="1" width="3.875" style="0" customWidth="1"/>
    <col min="2" max="2" width="10.625" style="0" customWidth="1"/>
    <col min="3" max="3" width="10.75390625" style="0" customWidth="1"/>
    <col min="4" max="6" width="10.75390625" style="0" hidden="1" customWidth="1"/>
    <col min="7" max="7" width="9.625" style="0" customWidth="1"/>
    <col min="8" max="8" width="9.375" style="0" customWidth="1"/>
    <col min="9" max="18" width="8.75390625" style="0" customWidth="1"/>
    <col min="19" max="19" width="6.375" style="8" customWidth="1"/>
    <col min="20" max="20" width="2.875" style="0" customWidth="1"/>
    <col min="21" max="22" width="6.00390625" style="8" customWidth="1"/>
    <col min="23" max="23" width="3.75390625" style="8" customWidth="1"/>
    <col min="24" max="25" width="6.00390625" style="8" customWidth="1"/>
    <col min="26" max="26" width="3.75390625" style="8" customWidth="1"/>
    <col min="27" max="27" width="6.00390625" style="8" customWidth="1"/>
    <col min="28" max="28" width="6.375" style="8" customWidth="1"/>
    <col min="29" max="29" width="9.25390625" style="8" customWidth="1"/>
    <col min="30" max="30" width="15.75390625" style="0" customWidth="1"/>
    <col min="31" max="32" width="12.00390625" style="0" customWidth="1"/>
    <col min="33" max="33" width="6.75390625" style="0" customWidth="1"/>
    <col min="34" max="34" width="4.25390625" style="0" customWidth="1"/>
    <col min="35" max="35" width="10.625" style="0" customWidth="1"/>
    <col min="36" max="36" width="7.375" style="0" customWidth="1"/>
    <col min="37" max="37" width="4.00390625" style="0" customWidth="1"/>
    <col min="38" max="38" width="9.625" style="0" customWidth="1"/>
    <col min="39" max="39" width="6.25390625" style="0" customWidth="1"/>
    <col min="40" max="40" width="3.875" style="0" customWidth="1"/>
    <col min="41" max="41" width="10.75390625" style="0" customWidth="1"/>
    <col min="42" max="42" width="12.875" style="0" customWidth="1"/>
    <col min="43" max="43" width="10.75390625" style="0" customWidth="1"/>
    <col min="44" max="44" width="7.875" style="0" customWidth="1"/>
    <col min="45" max="45" width="3.00390625" style="0" customWidth="1"/>
    <col min="46" max="46" width="7.25390625" style="0" customWidth="1"/>
  </cols>
  <sheetData>
    <row r="1" spans="1:38" ht="25.5" customHeight="1" thickBot="1">
      <c r="A1" s="146"/>
      <c r="B1" s="146"/>
      <c r="C1" s="146"/>
      <c r="D1" s="146"/>
      <c r="E1" s="146"/>
      <c r="F1" s="146"/>
      <c r="G1" s="146"/>
      <c r="H1" s="146"/>
      <c r="I1" s="146"/>
      <c r="J1" s="146"/>
      <c r="K1" s="146"/>
      <c r="L1" s="146"/>
      <c r="M1" s="146"/>
      <c r="N1" s="146"/>
      <c r="O1" s="146"/>
      <c r="P1" s="146"/>
      <c r="Q1" s="146"/>
      <c r="R1" s="146"/>
      <c r="AE1" s="589" t="s">
        <v>129</v>
      </c>
      <c r="AF1" s="590"/>
      <c r="AG1" s="228">
        <v>2</v>
      </c>
      <c r="AI1" s="589" t="s">
        <v>164</v>
      </c>
      <c r="AJ1" s="594"/>
      <c r="AK1" s="590"/>
      <c r="AL1" s="228">
        <v>1</v>
      </c>
    </row>
    <row r="2" spans="1:18" ht="23.25" customHeight="1" thickBot="1" thickTop="1">
      <c r="A2" s="147"/>
      <c r="B2" s="120" t="s">
        <v>32</v>
      </c>
      <c r="C2" s="230">
        <v>1</v>
      </c>
      <c r="D2" s="230"/>
      <c r="E2" s="230"/>
      <c r="F2" s="230"/>
      <c r="G2" s="121" t="s">
        <v>31</v>
      </c>
      <c r="H2" s="541" t="str">
        <f>VLOOKUP(C2,'税額表'!$E$3:$F$74,2,FALSE)</f>
        <v>行橋小学校</v>
      </c>
      <c r="I2" s="593"/>
      <c r="J2" s="547"/>
      <c r="K2" s="147"/>
      <c r="L2" s="586" t="s">
        <v>153</v>
      </c>
      <c r="M2" s="587"/>
      <c r="N2" s="587"/>
      <c r="O2" s="588"/>
      <c r="P2" s="147"/>
      <c r="Q2" s="147"/>
      <c r="R2" s="147"/>
    </row>
    <row r="3" spans="1:31" ht="23.25" customHeight="1" thickTop="1">
      <c r="A3" s="591"/>
      <c r="B3" s="591"/>
      <c r="C3" s="591"/>
      <c r="D3" s="591"/>
      <c r="E3" s="591"/>
      <c r="F3" s="591"/>
      <c r="G3" s="592"/>
      <c r="H3" s="147"/>
      <c r="I3" s="147"/>
      <c r="J3" s="147"/>
      <c r="K3" s="147"/>
      <c r="L3" s="147"/>
      <c r="M3" s="147"/>
      <c r="N3" s="147"/>
      <c r="O3" s="147"/>
      <c r="P3" s="147"/>
      <c r="Q3" s="147"/>
      <c r="R3" s="147"/>
      <c r="S3" s="605" t="s">
        <v>143</v>
      </c>
      <c r="T3" s="606"/>
      <c r="U3" s="607"/>
      <c r="V3" s="605" t="s">
        <v>144</v>
      </c>
      <c r="W3" s="606"/>
      <c r="X3" s="607"/>
      <c r="Y3" s="605" t="s">
        <v>145</v>
      </c>
      <c r="Z3" s="606"/>
      <c r="AA3" s="607"/>
      <c r="AC3" s="116"/>
      <c r="AD3" s="116"/>
      <c r="AE3" s="116"/>
    </row>
    <row r="4" spans="1:37" ht="20.25">
      <c r="A4" s="148"/>
      <c r="B4" s="143" t="s">
        <v>142</v>
      </c>
      <c r="C4" s="614" t="s">
        <v>136</v>
      </c>
      <c r="D4" s="615"/>
      <c r="E4" s="615"/>
      <c r="F4" s="615"/>
      <c r="G4" s="604"/>
      <c r="H4" s="137" t="s">
        <v>41</v>
      </c>
      <c r="I4" s="603" t="s">
        <v>138</v>
      </c>
      <c r="J4" s="604"/>
      <c r="K4" s="140" t="s">
        <v>160</v>
      </c>
      <c r="L4" s="9" t="s">
        <v>20</v>
      </c>
      <c r="M4" s="407" t="s">
        <v>216</v>
      </c>
      <c r="N4" s="436"/>
      <c r="O4" s="437"/>
      <c r="P4" s="438" t="s">
        <v>233</v>
      </c>
      <c r="Q4" s="121" t="s">
        <v>239</v>
      </c>
      <c r="R4" s="48"/>
      <c r="S4" s="156">
        <v>1</v>
      </c>
      <c r="T4" s="154"/>
      <c r="U4" s="155">
        <v>1</v>
      </c>
      <c r="V4" s="156">
        <v>2</v>
      </c>
      <c r="W4" s="154"/>
      <c r="X4" s="155">
        <v>2</v>
      </c>
      <c r="Y4" s="156">
        <v>3</v>
      </c>
      <c r="Z4" s="154"/>
      <c r="AA4" s="155">
        <v>3</v>
      </c>
      <c r="AD4" s="33" t="s">
        <v>0</v>
      </c>
      <c r="AE4" s="206">
        <v>30</v>
      </c>
      <c r="AF4" s="32" t="s">
        <v>1</v>
      </c>
      <c r="AG4" s="525">
        <v>5</v>
      </c>
      <c r="AH4" s="525"/>
      <c r="AI4" s="32" t="s">
        <v>2</v>
      </c>
      <c r="AJ4" s="7" t="s">
        <v>3</v>
      </c>
      <c r="AK4" s="7"/>
    </row>
    <row r="5" spans="1:27" ht="12.75">
      <c r="A5" s="147"/>
      <c r="B5" s="121">
        <v>1</v>
      </c>
      <c r="C5" s="598" t="s">
        <v>269</v>
      </c>
      <c r="D5" s="598"/>
      <c r="E5" s="598"/>
      <c r="F5" s="598"/>
      <c r="G5" s="598"/>
      <c r="H5" s="409">
        <v>173000</v>
      </c>
      <c r="I5" s="584">
        <f>+C16</f>
        <v>319384</v>
      </c>
      <c r="J5" s="584"/>
      <c r="K5" s="411">
        <v>2000</v>
      </c>
      <c r="L5" s="412" t="s">
        <v>238</v>
      </c>
      <c r="M5" s="439"/>
      <c r="O5" s="184"/>
      <c r="P5" s="462"/>
      <c r="Q5" s="442" t="s">
        <v>240</v>
      </c>
      <c r="R5" s="184"/>
      <c r="S5" s="405">
        <v>40274</v>
      </c>
      <c r="T5" s="52" t="s">
        <v>19</v>
      </c>
      <c r="U5" s="406">
        <v>40379</v>
      </c>
      <c r="V5" s="405"/>
      <c r="W5" s="52" t="s">
        <v>19</v>
      </c>
      <c r="X5" s="406"/>
      <c r="Y5" s="405"/>
      <c r="Z5" s="52" t="s">
        <v>19</v>
      </c>
      <c r="AA5" s="406"/>
    </row>
    <row r="6" spans="1:43" ht="15">
      <c r="A6" s="144"/>
      <c r="B6" s="121">
        <v>2</v>
      </c>
      <c r="C6" s="598" t="s">
        <v>270</v>
      </c>
      <c r="D6" s="598"/>
      <c r="E6" s="598"/>
      <c r="F6" s="598"/>
      <c r="G6" s="598"/>
      <c r="H6" s="409">
        <v>173000</v>
      </c>
      <c r="I6" s="584">
        <f>+C25</f>
        <v>319384</v>
      </c>
      <c r="J6" s="584"/>
      <c r="K6" s="411"/>
      <c r="L6" s="412" t="s">
        <v>238</v>
      </c>
      <c r="M6" s="408"/>
      <c r="O6" s="184"/>
      <c r="P6" s="462"/>
      <c r="Q6" s="442" t="s">
        <v>240</v>
      </c>
      <c r="R6" s="184"/>
      <c r="S6" s="405">
        <v>40274</v>
      </c>
      <c r="T6" s="55" t="s">
        <v>147</v>
      </c>
      <c r="U6" s="406">
        <v>40315</v>
      </c>
      <c r="V6" s="405"/>
      <c r="W6" s="55" t="s">
        <v>147</v>
      </c>
      <c r="X6" s="406"/>
      <c r="Y6" s="405"/>
      <c r="Z6" s="55" t="s">
        <v>147</v>
      </c>
      <c r="AA6" s="406"/>
      <c r="AD6" t="s">
        <v>30</v>
      </c>
      <c r="AG6" s="578" t="s">
        <v>4</v>
      </c>
      <c r="AH6" s="579"/>
      <c r="AI6" s="23" t="s">
        <v>23</v>
      </c>
      <c r="AM6" s="578" t="s">
        <v>6</v>
      </c>
      <c r="AN6" s="579"/>
      <c r="AO6" s="23" t="s">
        <v>28</v>
      </c>
      <c r="AQ6" s="22" t="s">
        <v>7</v>
      </c>
    </row>
    <row r="7" spans="1:43" ht="13.5" customHeight="1">
      <c r="A7" s="144"/>
      <c r="B7" s="121">
        <v>3</v>
      </c>
      <c r="C7" s="598"/>
      <c r="D7" s="598"/>
      <c r="E7" s="598"/>
      <c r="F7" s="598"/>
      <c r="G7" s="598"/>
      <c r="H7" s="409">
        <v>173000</v>
      </c>
      <c r="I7" s="584">
        <f>+C34</f>
        <v>0</v>
      </c>
      <c r="J7" s="584"/>
      <c r="K7" s="411"/>
      <c r="L7" s="412"/>
      <c r="M7" s="408"/>
      <c r="O7" s="184"/>
      <c r="P7" s="462"/>
      <c r="Q7" s="442"/>
      <c r="R7" s="184"/>
      <c r="S7" s="405"/>
      <c r="T7" s="55" t="s">
        <v>148</v>
      </c>
      <c r="U7" s="406"/>
      <c r="V7" s="405"/>
      <c r="W7" s="55" t="s">
        <v>147</v>
      </c>
      <c r="X7" s="406"/>
      <c r="Y7" s="405"/>
      <c r="Z7" s="55" t="s">
        <v>148</v>
      </c>
      <c r="AA7" s="406"/>
      <c r="AB7" s="48"/>
      <c r="AD7" t="s">
        <v>5</v>
      </c>
      <c r="AG7" s="576"/>
      <c r="AH7" s="577"/>
      <c r="AI7" s="23" t="s">
        <v>24</v>
      </c>
      <c r="AM7" s="576"/>
      <c r="AN7" s="577"/>
      <c r="AQ7" s="24" t="s">
        <v>8</v>
      </c>
    </row>
    <row r="8" spans="1:43" ht="15">
      <c r="A8" s="144"/>
      <c r="B8" s="121">
        <v>4</v>
      </c>
      <c r="C8" s="598"/>
      <c r="D8" s="598"/>
      <c r="E8" s="598"/>
      <c r="F8" s="598"/>
      <c r="G8" s="598"/>
      <c r="H8" s="409">
        <v>173000</v>
      </c>
      <c r="I8" s="584">
        <f>+C43</f>
        <v>0</v>
      </c>
      <c r="J8" s="584"/>
      <c r="K8" s="411"/>
      <c r="L8" s="412"/>
      <c r="M8" s="408"/>
      <c r="O8" s="199"/>
      <c r="P8" s="462"/>
      <c r="Q8" s="442"/>
      <c r="R8" s="184"/>
      <c r="S8" s="405"/>
      <c r="T8" s="55" t="s">
        <v>148</v>
      </c>
      <c r="U8" s="406"/>
      <c r="V8" s="405"/>
      <c r="W8" s="55" t="s">
        <v>147</v>
      </c>
      <c r="X8" s="406"/>
      <c r="Y8" s="405"/>
      <c r="Z8" s="55" t="s">
        <v>148</v>
      </c>
      <c r="AA8" s="406"/>
      <c r="AB8" s="37"/>
      <c r="AG8" s="576"/>
      <c r="AH8" s="577"/>
      <c r="AM8" s="576"/>
      <c r="AN8" s="577"/>
      <c r="AQ8" s="3"/>
    </row>
    <row r="9" spans="2:45" ht="12.75" customHeight="1">
      <c r="B9" s="121">
        <v>5</v>
      </c>
      <c r="C9" s="598"/>
      <c r="D9" s="598"/>
      <c r="E9" s="598"/>
      <c r="F9" s="598"/>
      <c r="G9" s="598"/>
      <c r="H9" s="409">
        <v>173000</v>
      </c>
      <c r="I9" s="584">
        <f>+C52</f>
        <v>0</v>
      </c>
      <c r="J9" s="584"/>
      <c r="K9" s="411"/>
      <c r="L9" s="412"/>
      <c r="M9" s="408"/>
      <c r="O9" s="199"/>
      <c r="P9" s="462"/>
      <c r="Q9" s="442"/>
      <c r="R9" s="184"/>
      <c r="S9" s="405"/>
      <c r="T9" s="55" t="s">
        <v>148</v>
      </c>
      <c r="U9" s="406"/>
      <c r="V9" s="405"/>
      <c r="W9" s="55" t="s">
        <v>147</v>
      </c>
      <c r="X9" s="406"/>
      <c r="Y9" s="405"/>
      <c r="Z9" s="55" t="s">
        <v>148</v>
      </c>
      <c r="AA9" s="406"/>
      <c r="AB9" s="37"/>
      <c r="AE9" t="s">
        <v>22</v>
      </c>
      <c r="AG9" s="580"/>
      <c r="AH9" s="581"/>
      <c r="AI9" t="s">
        <v>48</v>
      </c>
      <c r="AJ9" t="s">
        <v>26</v>
      </c>
      <c r="AM9" s="580"/>
      <c r="AN9" s="581"/>
      <c r="AO9" t="s">
        <v>27</v>
      </c>
      <c r="AQ9" s="2"/>
      <c r="AS9" s="29" t="s">
        <v>49</v>
      </c>
    </row>
    <row r="10" spans="2:27" ht="12.75" customHeight="1" thickBot="1">
      <c r="B10" s="395"/>
      <c r="C10" s="601"/>
      <c r="D10" s="601"/>
      <c r="E10" s="601"/>
      <c r="F10" s="601"/>
      <c r="G10" s="601"/>
      <c r="H10" s="401"/>
      <c r="I10" s="602"/>
      <c r="J10" s="602"/>
      <c r="K10" s="402"/>
      <c r="L10" s="403"/>
      <c r="P10" t="s">
        <v>267</v>
      </c>
      <c r="S10" s="404"/>
      <c r="T10" s="200"/>
      <c r="U10" s="404"/>
      <c r="V10" s="404"/>
      <c r="W10" s="200"/>
      <c r="X10" s="404"/>
      <c r="Y10" s="404"/>
      <c r="Z10" s="200"/>
      <c r="AA10" s="404"/>
    </row>
    <row r="11" spans="2:46" ht="12.75" customHeight="1">
      <c r="B11" s="396" t="s">
        <v>155</v>
      </c>
      <c r="C11" s="397" t="s">
        <v>125</v>
      </c>
      <c r="D11" s="397">
        <f aca="true" t="shared" si="0" ref="D11:F18">P11</f>
        <v>1</v>
      </c>
      <c r="E11" s="398">
        <f t="shared" si="0"/>
        <v>2</v>
      </c>
      <c r="F11" s="399">
        <f t="shared" si="0"/>
        <v>3</v>
      </c>
      <c r="G11" s="400">
        <v>4</v>
      </c>
      <c r="H11" s="400">
        <v>5</v>
      </c>
      <c r="I11" s="400">
        <v>6</v>
      </c>
      <c r="J11" s="400">
        <v>7</v>
      </c>
      <c r="K11" s="400">
        <v>8</v>
      </c>
      <c r="L11" s="400">
        <v>9</v>
      </c>
      <c r="M11" s="124">
        <v>10</v>
      </c>
      <c r="N11" s="124">
        <v>11</v>
      </c>
      <c r="O11" s="124">
        <v>12</v>
      </c>
      <c r="P11" s="124">
        <v>1</v>
      </c>
      <c r="Q11" s="124">
        <v>2</v>
      </c>
      <c r="R11" s="124">
        <v>3</v>
      </c>
      <c r="AC11" s="582" t="s">
        <v>9</v>
      </c>
      <c r="AD11" s="568" t="s">
        <v>13</v>
      </c>
      <c r="AE11" s="77"/>
      <c r="AF11" s="570" t="s">
        <v>10</v>
      </c>
      <c r="AG11" s="570"/>
      <c r="AH11" s="570"/>
      <c r="AI11" s="570"/>
      <c r="AJ11" s="536"/>
      <c r="AK11" s="537"/>
      <c r="AL11" s="549" t="s">
        <v>21</v>
      </c>
      <c r="AM11" s="536"/>
      <c r="AN11" s="536"/>
      <c r="AO11" s="537"/>
      <c r="AP11" s="78" t="s">
        <v>18</v>
      </c>
      <c r="AQ11" s="568" t="s">
        <v>12</v>
      </c>
      <c r="AR11" s="560" t="s">
        <v>17</v>
      </c>
      <c r="AS11" s="561"/>
      <c r="AT11" s="562"/>
    </row>
    <row r="12" spans="2:46" ht="12.75" customHeight="1">
      <c r="B12" s="125"/>
      <c r="C12" s="235"/>
      <c r="D12" s="235" t="str">
        <f t="shared" si="0"/>
        <v>実日数</v>
      </c>
      <c r="E12" s="125" t="str">
        <f t="shared" si="0"/>
        <v>実日数</v>
      </c>
      <c r="F12" s="241" t="str">
        <f t="shared" si="0"/>
        <v>実日数</v>
      </c>
      <c r="G12" s="125" t="s">
        <v>151</v>
      </c>
      <c r="H12" s="125" t="s">
        <v>151</v>
      </c>
      <c r="I12" s="125" t="s">
        <v>151</v>
      </c>
      <c r="J12" s="125" t="s">
        <v>151</v>
      </c>
      <c r="K12" s="125" t="s">
        <v>151</v>
      </c>
      <c r="L12" s="125" t="s">
        <v>151</v>
      </c>
      <c r="M12" s="125" t="s">
        <v>151</v>
      </c>
      <c r="N12" s="125" t="s">
        <v>151</v>
      </c>
      <c r="O12" s="125" t="s">
        <v>151</v>
      </c>
      <c r="P12" s="125" t="s">
        <v>151</v>
      </c>
      <c r="Q12" s="125" t="s">
        <v>151</v>
      </c>
      <c r="R12" s="125" t="s">
        <v>151</v>
      </c>
      <c r="V12" s="148"/>
      <c r="W12" s="148"/>
      <c r="X12" s="148"/>
      <c r="Y12" s="148"/>
      <c r="Z12" s="148"/>
      <c r="AA12" s="148"/>
      <c r="AC12" s="583"/>
      <c r="AD12" s="569"/>
      <c r="AE12" s="81" t="s">
        <v>14</v>
      </c>
      <c r="AF12" s="81" t="s">
        <v>15</v>
      </c>
      <c r="AG12" s="541"/>
      <c r="AH12" s="547"/>
      <c r="AI12" s="81"/>
      <c r="AJ12" s="541" t="s">
        <v>16</v>
      </c>
      <c r="AK12" s="542"/>
      <c r="AL12" s="82" t="s">
        <v>11</v>
      </c>
      <c r="AM12" s="550" t="str">
        <f>IF(OR($AM$15&gt;0,$AM$19&gt;0,$AM$23&gt;0,AM27&gt;0,AM31&gt;0),"社会保険料","")</f>
        <v>社会保険料</v>
      </c>
      <c r="AN12" s="551"/>
      <c r="AO12" s="83" t="s">
        <v>16</v>
      </c>
      <c r="AP12" s="84" t="s">
        <v>10</v>
      </c>
      <c r="AQ12" s="569"/>
      <c r="AR12" s="563"/>
      <c r="AS12" s="564"/>
      <c r="AT12" s="565"/>
    </row>
    <row r="13" spans="2:46" ht="12.75" customHeight="1">
      <c r="B13" s="126"/>
      <c r="C13" s="236"/>
      <c r="D13" s="236">
        <f t="shared" si="0"/>
        <v>0</v>
      </c>
      <c r="E13" s="127">
        <f t="shared" si="0"/>
        <v>0</v>
      </c>
      <c r="F13" s="242">
        <f t="shared" si="0"/>
        <v>0</v>
      </c>
      <c r="G13" s="217">
        <v>22</v>
      </c>
      <c r="H13" s="217">
        <v>24</v>
      </c>
      <c r="I13" s="217"/>
      <c r="J13" s="217"/>
      <c r="K13" s="217"/>
      <c r="L13" s="217"/>
      <c r="M13" s="217"/>
      <c r="N13" s="217"/>
      <c r="O13" s="217"/>
      <c r="P13" s="217"/>
      <c r="Q13" s="217"/>
      <c r="R13" s="217"/>
      <c r="V13" s="37"/>
      <c r="W13" s="37"/>
      <c r="X13" s="37"/>
      <c r="Y13" s="37"/>
      <c r="Z13" s="37"/>
      <c r="AA13" s="37"/>
      <c r="AC13" s="149"/>
      <c r="AD13" s="86"/>
      <c r="AE13" s="91"/>
      <c r="AF13" s="91"/>
      <c r="AG13" s="544"/>
      <c r="AH13" s="545"/>
      <c r="AI13" s="91"/>
      <c r="AJ13" s="92"/>
      <c r="AK13" s="94"/>
      <c r="AL13" s="95"/>
      <c r="AM13" s="552">
        <f>IF(Q5="","",IF(((AJ16*0.003)-INT(AJ16*0.003))=0.5,ROUNDDOWN(AJ16*0.003,0),ROUND(AJ16*0.003,0)))</f>
        <v>525</v>
      </c>
      <c r="AN13" s="553"/>
      <c r="AO13" s="96"/>
      <c r="AP13" s="93"/>
      <c r="AQ13" s="571"/>
      <c r="AR13" s="159" t="str">
        <f>IF(AND(0&lt;$AG$1,$AG$1&lt;6),+L5,"")</f>
        <v>病代</v>
      </c>
      <c r="AS13" s="160"/>
      <c r="AT13" s="161"/>
    </row>
    <row r="14" spans="2:46" ht="12.75" customHeight="1">
      <c r="B14" s="126"/>
      <c r="C14" s="188">
        <f>SUM(G14:R14)</f>
        <v>0</v>
      </c>
      <c r="D14" s="188" t="str">
        <f t="shared" si="0"/>
        <v>総日数</v>
      </c>
      <c r="E14" s="126" t="str">
        <f t="shared" si="0"/>
        <v>総日数</v>
      </c>
      <c r="F14" s="243" t="str">
        <f t="shared" si="0"/>
        <v>総日数</v>
      </c>
      <c r="G14" s="189" t="s">
        <v>152</v>
      </c>
      <c r="H14" s="189" t="s">
        <v>152</v>
      </c>
      <c r="I14" s="189" t="s">
        <v>152</v>
      </c>
      <c r="J14" s="189" t="s">
        <v>152</v>
      </c>
      <c r="K14" s="189" t="s">
        <v>152</v>
      </c>
      <c r="L14" s="189" t="s">
        <v>152</v>
      </c>
      <c r="M14" s="189" t="s">
        <v>152</v>
      </c>
      <c r="N14" s="189" t="s">
        <v>152</v>
      </c>
      <c r="O14" s="189" t="s">
        <v>152</v>
      </c>
      <c r="P14" s="189" t="s">
        <v>152</v>
      </c>
      <c r="Q14" s="189" t="s">
        <v>152</v>
      </c>
      <c r="R14" s="189" t="s">
        <v>152</v>
      </c>
      <c r="V14" s="37"/>
      <c r="W14" s="37"/>
      <c r="X14" s="37"/>
      <c r="Y14" s="37"/>
      <c r="Z14" s="37"/>
      <c r="AA14" s="37"/>
      <c r="AC14" s="150" t="str">
        <f>IF(AND(0&lt;$AG$1,$AG$1&lt;6),"非常勤","")</f>
        <v>非常勤</v>
      </c>
      <c r="AD14" s="118"/>
      <c r="AE14" s="97"/>
      <c r="AF14" s="97"/>
      <c r="AG14" s="530"/>
      <c r="AH14" s="531"/>
      <c r="AI14" s="97"/>
      <c r="AJ14" s="98"/>
      <c r="AK14" s="100"/>
      <c r="AL14" s="101"/>
      <c r="AM14" s="554">
        <v>1000</v>
      </c>
      <c r="AN14" s="555"/>
      <c r="AO14" s="102"/>
      <c r="AP14" s="99"/>
      <c r="AQ14" s="572"/>
      <c r="AR14" s="168">
        <f>IF(AND(0&lt;$AG$1,$AG$1&lt;6,$AL$1=1),+S5,IF(AND(0&lt;$AG$1,$AG$1&lt;6,$AL$1=2),+V5,IF(AND(0&lt;$AG$1,$AG$1&lt;6,$AL$1=3),+Y5,"")))</f>
        <v>40274</v>
      </c>
      <c r="AS14" s="162" t="str">
        <f>IF(AR14&gt;0,"～",FALSE)</f>
        <v>～</v>
      </c>
      <c r="AT14" s="171">
        <f>IF(AND(0&lt;$AG$1,$AG$1&lt;6,$AL$1=1),+U5,IF(AND(0&lt;$AG$1,$AG$1&lt;6,$AL$1=2),+X5,IF(AND(0&lt;$AG$1,$AG$1&lt;6,$AL$1=3),+AA5,"")))</f>
        <v>40379</v>
      </c>
    </row>
    <row r="15" spans="2:46" ht="12.75" customHeight="1">
      <c r="B15" s="175"/>
      <c r="C15" s="191"/>
      <c r="D15" s="129">
        <f t="shared" si="0"/>
        <v>0</v>
      </c>
      <c r="E15" s="128">
        <f t="shared" si="0"/>
        <v>0</v>
      </c>
      <c r="F15" s="240">
        <f t="shared" si="0"/>
        <v>0</v>
      </c>
      <c r="G15" s="221">
        <v>26</v>
      </c>
      <c r="H15" s="221">
        <v>24</v>
      </c>
      <c r="I15" s="221"/>
      <c r="J15" s="221"/>
      <c r="K15" s="221"/>
      <c r="L15" s="221"/>
      <c r="M15" s="221"/>
      <c r="N15" s="221"/>
      <c r="O15" s="221"/>
      <c r="P15" s="221"/>
      <c r="Q15" s="221"/>
      <c r="R15" s="221"/>
      <c r="V15" s="37"/>
      <c r="W15" s="37"/>
      <c r="X15" s="37"/>
      <c r="Y15" s="37"/>
      <c r="Z15" s="37"/>
      <c r="AA15" s="37"/>
      <c r="AC15" s="150" t="str">
        <f>IF(AND(0&lt;$AG$1,$AG$1&lt;6),"講　師","")</f>
        <v>講　師</v>
      </c>
      <c r="AD15" s="88" t="str">
        <f>IF(AND(0&lt;$AG$1,$AG$1&lt;6),+C5,"")</f>
        <v>京築　太郎</v>
      </c>
      <c r="AE15" s="97"/>
      <c r="AF15" s="97">
        <f>IF(AND(0&lt;$AG$1,$AG$1&lt;6),HLOOKUP($AG$4,$D$11:$R$18,8),"")</f>
        <v>2000</v>
      </c>
      <c r="AG15" s="530"/>
      <c r="AH15" s="531"/>
      <c r="AI15" s="97"/>
      <c r="AJ15" s="98"/>
      <c r="AK15" s="100"/>
      <c r="AL15" s="101"/>
      <c r="AM15" s="554">
        <v>16000</v>
      </c>
      <c r="AN15" s="555"/>
      <c r="AO15" s="102"/>
      <c r="AP15" s="99"/>
      <c r="AQ15" s="572"/>
      <c r="AR15" s="185" t="str">
        <f>IF(AND(0&lt;$AG$1,$AG$1&lt;6)," 173,000円×","")</f>
        <v> 173,000円×</v>
      </c>
      <c r="AT15" s="207"/>
    </row>
    <row r="16" spans="2:46" ht="12.75" customHeight="1">
      <c r="B16" s="190" t="s">
        <v>149</v>
      </c>
      <c r="C16" s="237">
        <f>SUM(G16:R16)</f>
        <v>319384</v>
      </c>
      <c r="D16" s="237">
        <f t="shared" si="0"/>
        <v>0</v>
      </c>
      <c r="E16" s="133">
        <f t="shared" si="0"/>
        <v>0</v>
      </c>
      <c r="F16" s="244">
        <f t="shared" si="0"/>
        <v>0</v>
      </c>
      <c r="G16" s="205">
        <f>IF(G13&gt;0,INT(+$H$5*G13/G15),0)</f>
        <v>146384</v>
      </c>
      <c r="H16" s="205">
        <f aca="true" t="shared" si="1" ref="H16:Q16">IF(H13&gt;0,INT(+$H$5*H13/H15),0)</f>
        <v>173000</v>
      </c>
      <c r="I16" s="205">
        <f t="shared" si="1"/>
        <v>0</v>
      </c>
      <c r="J16" s="205">
        <f t="shared" si="1"/>
        <v>0</v>
      </c>
      <c r="K16" s="205">
        <f t="shared" si="1"/>
        <v>0</v>
      </c>
      <c r="L16" s="205">
        <f t="shared" si="1"/>
        <v>0</v>
      </c>
      <c r="M16" s="205">
        <f t="shared" si="1"/>
        <v>0</v>
      </c>
      <c r="N16" s="205">
        <f t="shared" si="1"/>
        <v>0</v>
      </c>
      <c r="O16" s="205">
        <f t="shared" si="1"/>
        <v>0</v>
      </c>
      <c r="P16" s="205">
        <f t="shared" si="1"/>
        <v>0</v>
      </c>
      <c r="Q16" s="205">
        <f t="shared" si="1"/>
        <v>0</v>
      </c>
      <c r="R16" s="205">
        <f>IF(R13&gt;0,INT(+$H$5*R13/R15),0)</f>
        <v>0</v>
      </c>
      <c r="V16" s="48"/>
      <c r="W16" s="48"/>
      <c r="X16" s="48"/>
      <c r="Y16" s="48"/>
      <c r="Z16" s="48"/>
      <c r="AA16" s="48"/>
      <c r="AC16" s="150"/>
      <c r="AD16" s="80"/>
      <c r="AE16" s="103"/>
      <c r="AF16" s="97">
        <f>IF(AND(0&lt;$AG$1,$AG$1&lt;6),HLOOKUP($AG$4,$D$11:$R$18,6),"")</f>
        <v>173000</v>
      </c>
      <c r="AG16" s="530"/>
      <c r="AH16" s="531"/>
      <c r="AI16" s="103"/>
      <c r="AJ16" s="532">
        <f>SUM(AE13:AI16)</f>
        <v>175000</v>
      </c>
      <c r="AK16" s="533"/>
      <c r="AL16" s="105">
        <f>IF((AF16-SUM(AM13:AN16)+P5)&lt;88000,INT((AF16-SUM(AM13:AN16)+P5)*0.03063),VLOOKUP((AF16-SUM(AM13:AN16)+P5),'税額表'!$B$3:$C$118,2,TRUE))</f>
        <v>9600</v>
      </c>
      <c r="AM16" s="608"/>
      <c r="AN16" s="609"/>
      <c r="AO16" s="106">
        <f>SUM(AL13:AN16)</f>
        <v>27125</v>
      </c>
      <c r="AP16" s="107">
        <f>+AJ16-AO16</f>
        <v>147875</v>
      </c>
      <c r="AQ16" s="573"/>
      <c r="AR16" s="185">
        <f>IF(AND(0&lt;$AG$1,$AG$1&lt;6),HLOOKUP($AG$4,$D$11:$O$18,3),"")</f>
        <v>24</v>
      </c>
      <c r="AS16" s="163" t="str">
        <f>IF(AND(0&lt;$AG$1,$AG$1&lt;6),"／","")</f>
        <v>／</v>
      </c>
      <c r="AT16" s="172">
        <f>IF(AND(0&lt;$AG$1,$AG$1&lt;6),HLOOKUP($AG$4,$D$11:$O$18,5),"")</f>
        <v>24</v>
      </c>
    </row>
    <row r="17" spans="1:46" ht="12.75" customHeight="1">
      <c r="A17" s="145"/>
      <c r="B17" s="127"/>
      <c r="C17" s="238" t="s">
        <v>150</v>
      </c>
      <c r="D17" s="238">
        <f t="shared" si="0"/>
        <v>0</v>
      </c>
      <c r="E17" s="176">
        <f t="shared" si="0"/>
        <v>0</v>
      </c>
      <c r="F17" s="245">
        <f t="shared" si="0"/>
        <v>0</v>
      </c>
      <c r="G17" s="218"/>
      <c r="H17" s="218">
        <v>1</v>
      </c>
      <c r="I17" s="218"/>
      <c r="J17" s="218"/>
      <c r="K17" s="218"/>
      <c r="L17" s="218"/>
      <c r="M17" s="218"/>
      <c r="N17" s="218"/>
      <c r="O17" s="218"/>
      <c r="P17" s="218"/>
      <c r="Q17" s="218"/>
      <c r="R17" s="218"/>
      <c r="S17" s="58" t="s">
        <v>154</v>
      </c>
      <c r="T17" s="202"/>
      <c r="U17" s="203"/>
      <c r="V17" s="202"/>
      <c r="W17" s="203"/>
      <c r="X17" s="203"/>
      <c r="Y17" s="204"/>
      <c r="Z17" s="204"/>
      <c r="AA17" s="48"/>
      <c r="AC17" s="149"/>
      <c r="AD17" s="86"/>
      <c r="AE17" s="91"/>
      <c r="AF17" s="91"/>
      <c r="AG17" s="544"/>
      <c r="AH17" s="545"/>
      <c r="AI17" s="91"/>
      <c r="AJ17" s="92"/>
      <c r="AK17" s="94"/>
      <c r="AL17" s="95"/>
      <c r="AM17" s="552">
        <f>IF(Q6="","",IF(((AJ20*0.003)-INT(AJ20*0.003))=0.5,ROUNDDOWN(AJ20*0.003,0),ROUND(AJ20*0.003,0)))</f>
        <v>519</v>
      </c>
      <c r="AN17" s="553"/>
      <c r="AO17" s="96"/>
      <c r="AP17" s="93"/>
      <c r="AQ17" s="571"/>
      <c r="AR17" s="159" t="str">
        <f>IF(AND(1&lt;$AG$1,$AG$1&lt;6),+L6,"")</f>
        <v>病代</v>
      </c>
      <c r="AS17" s="160"/>
      <c r="AT17" s="165"/>
    </row>
    <row r="18" spans="1:46" ht="12.75" customHeight="1">
      <c r="A18" s="145"/>
      <c r="B18" s="128"/>
      <c r="C18" s="239">
        <f>SUM(G18:R18)</f>
        <v>2000</v>
      </c>
      <c r="D18" s="134">
        <f t="shared" si="0"/>
        <v>0</v>
      </c>
      <c r="E18" s="193">
        <f t="shared" si="0"/>
        <v>0</v>
      </c>
      <c r="F18" s="246">
        <f t="shared" si="0"/>
        <v>0</v>
      </c>
      <c r="G18" s="128">
        <f aca="true" t="shared" si="2" ref="G18:R18">IF(G17=1,+$K$5,0)</f>
        <v>0</v>
      </c>
      <c r="H18" s="128">
        <f t="shared" si="2"/>
        <v>2000</v>
      </c>
      <c r="I18" s="128">
        <f t="shared" si="2"/>
        <v>0</v>
      </c>
      <c r="J18" s="128">
        <f t="shared" si="2"/>
        <v>0</v>
      </c>
      <c r="K18" s="128">
        <f t="shared" si="2"/>
        <v>0</v>
      </c>
      <c r="L18" s="128">
        <f t="shared" si="2"/>
        <v>0</v>
      </c>
      <c r="M18" s="128">
        <f t="shared" si="2"/>
        <v>0</v>
      </c>
      <c r="N18" s="128">
        <f t="shared" si="2"/>
        <v>0</v>
      </c>
      <c r="O18" s="128">
        <f t="shared" si="2"/>
        <v>0</v>
      </c>
      <c r="P18" s="128">
        <f t="shared" si="2"/>
        <v>0</v>
      </c>
      <c r="Q18" s="128">
        <f>IF(Q17=1,+$K$5,0)</f>
        <v>0</v>
      </c>
      <c r="R18" s="128">
        <f t="shared" si="2"/>
        <v>0</v>
      </c>
      <c r="V18" s="48"/>
      <c r="W18" s="48"/>
      <c r="X18" s="48"/>
      <c r="Y18" s="48"/>
      <c r="Z18" s="48"/>
      <c r="AA18" s="48"/>
      <c r="AC18" s="150" t="str">
        <f>IF(AND(1&lt;$AG$1,$AG$1&lt;6),"非常勤","")</f>
        <v>非常勤</v>
      </c>
      <c r="AD18" s="118"/>
      <c r="AE18" s="97"/>
      <c r="AF18" s="97"/>
      <c r="AG18" s="530"/>
      <c r="AH18" s="531"/>
      <c r="AI18" s="97"/>
      <c r="AJ18" s="98"/>
      <c r="AK18" s="100"/>
      <c r="AL18" s="101"/>
      <c r="AM18" s="554"/>
      <c r="AN18" s="555"/>
      <c r="AO18" s="102"/>
      <c r="AP18" s="99"/>
      <c r="AQ18" s="572"/>
      <c r="AR18" s="168">
        <f>IF(AND(1&lt;$AG$1,$AG$1&lt;6,$AL$1=1),+S6,IF(AND(1&lt;$AG$1,$AG$1&lt;6,$AL$1=2),+V6,IF(AND(1&lt;$AG$1,$AG$1&lt;6,$AL$1=3),+Y6,"")))</f>
        <v>40274</v>
      </c>
      <c r="AS18" s="163" t="str">
        <f>IF(AND(1&lt;$AG$1,$AG$1&lt;6),"～","")</f>
        <v>～</v>
      </c>
      <c r="AT18" s="171">
        <f>IF(AND(1&lt;$AG$1,$AG$1&lt;6,$AL$1=1),+U6,IF(AND(1&lt;$AG$1,$AG$1&lt;6,$AL$1=2),+X6,IF(AND(1&lt;$AG$1,$AG$1&lt;6,$AL$1=3),+AA6,"")))</f>
        <v>40315</v>
      </c>
    </row>
    <row r="19" spans="1:46" ht="12.75" customHeight="1">
      <c r="A19" s="145"/>
      <c r="C19" s="12"/>
      <c r="D19" s="36"/>
      <c r="E19" s="36"/>
      <c r="F19" s="36"/>
      <c r="AC19" s="150" t="str">
        <f>IF(AND(1&lt;$AG$1,$AG$1&lt;6),"講　師","")</f>
        <v>講　師</v>
      </c>
      <c r="AD19" s="88" t="str">
        <f>IF(AND(1&lt;$AG$1,$AG$1&lt;6),+C6,"")</f>
        <v>福岡　次郎</v>
      </c>
      <c r="AE19" s="97"/>
      <c r="AF19" s="97">
        <f>IF(AND(1&lt;$AG$1,$AG$1&lt;6),HLOOKUP($AG$4,$D$20:$R$27,8),"")</f>
        <v>0</v>
      </c>
      <c r="AG19" s="530"/>
      <c r="AH19" s="531"/>
      <c r="AI19" s="97"/>
      <c r="AJ19" s="98"/>
      <c r="AK19" s="100"/>
      <c r="AL19" s="101"/>
      <c r="AM19" s="554"/>
      <c r="AN19" s="555"/>
      <c r="AO19" s="102"/>
      <c r="AP19" s="99"/>
      <c r="AQ19" s="572"/>
      <c r="AR19" s="185" t="str">
        <f>IF(AND(1&lt;$AG$1,$AG$1&lt;6)," 173,000円×","")</f>
        <v> 173,000円×</v>
      </c>
      <c r="AT19" s="207"/>
    </row>
    <row r="20" spans="1:46" ht="12.75" customHeight="1">
      <c r="A20" s="145"/>
      <c r="B20" s="123" t="s">
        <v>156</v>
      </c>
      <c r="C20" s="141" t="s">
        <v>125</v>
      </c>
      <c r="D20" s="141">
        <f aca="true" t="shared" si="3" ref="D20:F27">P20</f>
        <v>1</v>
      </c>
      <c r="E20" s="141">
        <f t="shared" si="3"/>
        <v>2</v>
      </c>
      <c r="F20" s="141">
        <f t="shared" si="3"/>
        <v>3</v>
      </c>
      <c r="G20" s="124">
        <v>4</v>
      </c>
      <c r="H20" s="124">
        <v>5</v>
      </c>
      <c r="I20" s="124">
        <v>6</v>
      </c>
      <c r="J20" s="124">
        <v>7</v>
      </c>
      <c r="K20" s="124">
        <v>8</v>
      </c>
      <c r="L20" s="124">
        <v>9</v>
      </c>
      <c r="M20" s="124">
        <v>10</v>
      </c>
      <c r="N20" s="124">
        <v>11</v>
      </c>
      <c r="O20" s="124">
        <v>12</v>
      </c>
      <c r="P20" s="124">
        <v>1</v>
      </c>
      <c r="Q20" s="124">
        <v>2</v>
      </c>
      <c r="R20" s="124">
        <v>3</v>
      </c>
      <c r="V20" s="148"/>
      <c r="W20" s="148"/>
      <c r="X20" s="148"/>
      <c r="Y20" s="148"/>
      <c r="Z20" s="148"/>
      <c r="AA20" s="148"/>
      <c r="AC20" s="150"/>
      <c r="AD20" s="80"/>
      <c r="AE20" s="103"/>
      <c r="AF20" s="97">
        <f>IF(AND(1&lt;$AG$1,$AG$1&lt;6),HLOOKUP($AG$4,$D$20:$R$27,6),"")</f>
        <v>173000</v>
      </c>
      <c r="AG20" s="530"/>
      <c r="AH20" s="531"/>
      <c r="AI20" s="103"/>
      <c r="AJ20" s="532">
        <f>SUM(AE17:AI20)</f>
        <v>173000</v>
      </c>
      <c r="AK20" s="533"/>
      <c r="AL20" s="105">
        <f>IF((AF20-SUM(AM17:AN20)+P6)&lt;88000,INT((AF20-SUM(AM17:AN20)+P6)*0.03063),VLOOKUP((AF20-SUM(AM17:AN20)+P6),'税額表'!$B$3:$C$118,2,TRUE))</f>
        <v>12000</v>
      </c>
      <c r="AM20" s="608"/>
      <c r="AN20" s="609"/>
      <c r="AO20" s="106">
        <f>SUM(AL17:AN20)</f>
        <v>12519</v>
      </c>
      <c r="AP20" s="107">
        <f>IF(AG1&gt;1,+AJ20-AO20,"")</f>
        <v>160481</v>
      </c>
      <c r="AQ20" s="573"/>
      <c r="AR20" s="185">
        <f>IF(AND(1&lt;$AG$1,$AG$1&lt;6),HLOOKUP($AG$4,$D$20:$R$27,3),"")</f>
        <v>24</v>
      </c>
      <c r="AS20" s="163" t="str">
        <f>IF(AND(1&lt;$AG$1,$AG$1&lt;6),"／","")</f>
        <v>／</v>
      </c>
      <c r="AT20" s="172">
        <f>IF(AND(1&lt;$AG$1,$AG$1&lt;6),HLOOKUP($AG$4,$D$20:$R$27,5),"")</f>
        <v>24</v>
      </c>
    </row>
    <row r="21" spans="1:46" ht="12.75" customHeight="1">
      <c r="A21" s="145"/>
      <c r="B21" s="125"/>
      <c r="C21" s="125"/>
      <c r="D21" s="125" t="str">
        <f t="shared" si="3"/>
        <v>実日数</v>
      </c>
      <c r="E21" s="125" t="str">
        <f t="shared" si="3"/>
        <v>実日数</v>
      </c>
      <c r="F21" s="125" t="str">
        <f t="shared" si="3"/>
        <v>実日数</v>
      </c>
      <c r="G21" s="125" t="s">
        <v>151</v>
      </c>
      <c r="H21" s="125" t="s">
        <v>151</v>
      </c>
      <c r="I21" s="125" t="s">
        <v>151</v>
      </c>
      <c r="J21" s="125" t="s">
        <v>151</v>
      </c>
      <c r="K21" s="125" t="s">
        <v>151</v>
      </c>
      <c r="L21" s="125" t="s">
        <v>151</v>
      </c>
      <c r="M21" s="125" t="s">
        <v>151</v>
      </c>
      <c r="N21" s="125" t="s">
        <v>151</v>
      </c>
      <c r="O21" s="125" t="s">
        <v>151</v>
      </c>
      <c r="P21" s="125" t="s">
        <v>151</v>
      </c>
      <c r="Q21" s="125" t="s">
        <v>151</v>
      </c>
      <c r="R21" s="125" t="s">
        <v>151</v>
      </c>
      <c r="V21" s="148"/>
      <c r="W21" s="148"/>
      <c r="X21" s="148"/>
      <c r="Y21" s="148"/>
      <c r="Z21" s="148"/>
      <c r="AA21" s="148"/>
      <c r="AC21" s="149"/>
      <c r="AD21" s="86"/>
      <c r="AE21" s="91"/>
      <c r="AF21" s="91"/>
      <c r="AG21" s="544"/>
      <c r="AH21" s="545"/>
      <c r="AI21" s="91"/>
      <c r="AJ21" s="92"/>
      <c r="AK21" s="94"/>
      <c r="AL21" s="95"/>
      <c r="AM21" s="552">
        <f>IF(Q7="","",IF(((AJ24*0.004)-INT(AJ24*0.004))=0.5,ROUNDDOWN(AJ24*0.004,0),ROUND(AJ24*0.004,0)))</f>
      </c>
      <c r="AN21" s="553"/>
      <c r="AO21" s="96"/>
      <c r="AP21" s="93"/>
      <c r="AQ21" s="571"/>
      <c r="AR21" s="159">
        <f>IF(AND(2&lt;$AG$1,$AG$1&lt;6),+L7,"")</f>
      </c>
      <c r="AS21" s="166"/>
      <c r="AT21" s="167"/>
    </row>
    <row r="22" spans="1:46" ht="12.75" customHeight="1">
      <c r="A22" s="145"/>
      <c r="B22" s="126"/>
      <c r="C22" s="127"/>
      <c r="D22" s="127">
        <f t="shared" si="3"/>
        <v>0</v>
      </c>
      <c r="E22" s="127">
        <f t="shared" si="3"/>
        <v>0</v>
      </c>
      <c r="F22" s="127">
        <f t="shared" si="3"/>
        <v>0</v>
      </c>
      <c r="G22" s="217">
        <v>22</v>
      </c>
      <c r="H22" s="217">
        <v>24</v>
      </c>
      <c r="I22" s="217"/>
      <c r="J22" s="217"/>
      <c r="K22" s="217"/>
      <c r="L22" s="217"/>
      <c r="M22" s="217"/>
      <c r="N22" s="217"/>
      <c r="O22" s="217"/>
      <c r="P22" s="217"/>
      <c r="Q22" s="217"/>
      <c r="R22" s="217"/>
      <c r="V22" s="37"/>
      <c r="W22" s="37"/>
      <c r="X22" s="37"/>
      <c r="Y22" s="37"/>
      <c r="Z22" s="37"/>
      <c r="AA22" s="37"/>
      <c r="AC22" s="150">
        <f>IF(AND(2&lt;$AG$1,$AG$1&lt;6),"非常勤","")</f>
      </c>
      <c r="AD22" s="118"/>
      <c r="AE22" s="97"/>
      <c r="AF22" s="97"/>
      <c r="AG22" s="530"/>
      <c r="AH22" s="531"/>
      <c r="AI22" s="97"/>
      <c r="AJ22" s="98"/>
      <c r="AK22" s="100"/>
      <c r="AL22" s="101"/>
      <c r="AM22" s="554"/>
      <c r="AN22" s="555"/>
      <c r="AO22" s="102"/>
      <c r="AP22" s="99"/>
      <c r="AQ22" s="572"/>
      <c r="AR22" s="168">
        <f>IF(AND(2&lt;$AG$1,$AG$1&lt;6,$AL$1=1),+S7,IF(AND(2&lt;$AG$1,$AG$1&lt;6,$AL$1=2),+V7,IF(AND(2&lt;$AG$1,$AG$1&lt;6,$AL$1=3),+Y7,"")))</f>
      </c>
      <c r="AS22" s="163">
        <f>IF(AND(2&lt;$AG$1,$AG$1&lt;6),"～","")</f>
      </c>
      <c r="AT22" s="171">
        <f>IF(AND(2&lt;$AG$1,$AG$1&lt;6,$AL$1=1),+U7,IF(AND(2&lt;$AG$1,$AG$1&lt;6,$AL$1=2),+X7,IF(AND(2&lt;$AG$1,$AG$1&lt;6,$AL$1=3),+AA7,"")))</f>
      </c>
    </row>
    <row r="23" spans="1:46" ht="12.75" customHeight="1">
      <c r="A23" s="145"/>
      <c r="B23" s="126"/>
      <c r="C23" s="188">
        <f>SUM(G23:R23)</f>
        <v>0</v>
      </c>
      <c r="D23" s="188" t="str">
        <f t="shared" si="3"/>
        <v>総日数</v>
      </c>
      <c r="E23" s="188" t="str">
        <f t="shared" si="3"/>
        <v>総日数</v>
      </c>
      <c r="F23" s="188" t="str">
        <f t="shared" si="3"/>
        <v>総日数</v>
      </c>
      <c r="G23" s="189" t="s">
        <v>152</v>
      </c>
      <c r="H23" s="189" t="s">
        <v>152</v>
      </c>
      <c r="I23" s="189" t="s">
        <v>152</v>
      </c>
      <c r="J23" s="189" t="s">
        <v>152</v>
      </c>
      <c r="K23" s="189" t="s">
        <v>152</v>
      </c>
      <c r="L23" s="189" t="s">
        <v>152</v>
      </c>
      <c r="M23" s="189" t="s">
        <v>152</v>
      </c>
      <c r="N23" s="189" t="s">
        <v>152</v>
      </c>
      <c r="O23" s="189" t="s">
        <v>152</v>
      </c>
      <c r="P23" s="189" t="s">
        <v>152</v>
      </c>
      <c r="Q23" s="189" t="s">
        <v>152</v>
      </c>
      <c r="R23" s="189" t="s">
        <v>152</v>
      </c>
      <c r="V23" s="37"/>
      <c r="W23" s="37"/>
      <c r="X23" s="37"/>
      <c r="Y23" s="37"/>
      <c r="Z23" s="37"/>
      <c r="AA23" s="37"/>
      <c r="AC23" s="150">
        <f>IF(AND(2&lt;$AG$1,$AG$1&lt;6),"講　師","")</f>
      </c>
      <c r="AD23" s="88">
        <f>IF(AND(2&lt;$AG$1,$AG$1&lt;6),+C7,"")</f>
      </c>
      <c r="AE23" s="97"/>
      <c r="AF23" s="97">
        <f>IF(AND(2&lt;$AG$1,$AG$1&lt;6),HLOOKUP($AG$4,$D$29:$R$36,8),"")</f>
      </c>
      <c r="AG23" s="530"/>
      <c r="AH23" s="531"/>
      <c r="AI23" s="97"/>
      <c r="AJ23" s="98"/>
      <c r="AK23" s="100"/>
      <c r="AL23" s="101"/>
      <c r="AM23" s="554"/>
      <c r="AN23" s="555"/>
      <c r="AO23" s="102"/>
      <c r="AP23" s="99"/>
      <c r="AQ23" s="572"/>
      <c r="AR23" s="185">
        <f>IF(AND(2&lt;$AG$1,$AG$1&lt;6)," 173,000円×","")</f>
      </c>
      <c r="AT23" s="207"/>
    </row>
    <row r="24" spans="1:46" ht="12.75" customHeight="1">
      <c r="A24" s="119"/>
      <c r="B24" s="175"/>
      <c r="C24" s="192"/>
      <c r="D24" s="192">
        <f t="shared" si="3"/>
        <v>0</v>
      </c>
      <c r="E24" s="192">
        <f t="shared" si="3"/>
        <v>0</v>
      </c>
      <c r="F24" s="192">
        <f t="shared" si="3"/>
        <v>0</v>
      </c>
      <c r="G24" s="221">
        <v>26</v>
      </c>
      <c r="H24" s="221">
        <v>24</v>
      </c>
      <c r="I24" s="221"/>
      <c r="J24" s="221"/>
      <c r="K24" s="221"/>
      <c r="L24" s="221"/>
      <c r="M24" s="221"/>
      <c r="N24" s="221"/>
      <c r="O24" s="221"/>
      <c r="P24" s="221"/>
      <c r="Q24" s="221"/>
      <c r="R24" s="221"/>
      <c r="V24" s="37"/>
      <c r="W24" s="37"/>
      <c r="X24" s="37"/>
      <c r="Y24" s="37"/>
      <c r="Z24" s="37"/>
      <c r="AA24" s="37"/>
      <c r="AC24" s="150"/>
      <c r="AD24" s="80"/>
      <c r="AE24" s="103"/>
      <c r="AF24" s="97">
        <f>IF(AND(2&lt;$AG$1,$AG$1&lt;6),HLOOKUP($AG$4,$D$29:$R$36,6),"")</f>
      </c>
      <c r="AG24" s="530"/>
      <c r="AH24" s="531"/>
      <c r="AI24" s="103"/>
      <c r="AJ24" s="532">
        <f>SUM(AE21:AI24)</f>
        <v>0</v>
      </c>
      <c r="AK24" s="533"/>
      <c r="AL24" s="105" t="e">
        <f>IF((AF24-SUM(AM21:AN24)+P7)&lt;88000,INT((AF24-SUM(AM21:AN24)+P7)*0.03063),VLOOKUP((AF24-SUM(AM21:AN24)+P7),'税額表'!$B$3:$C$118,2,TRUE))</f>
        <v>#VALUE!</v>
      </c>
      <c r="AM24" s="608"/>
      <c r="AN24" s="609"/>
      <c r="AO24" s="106" t="e">
        <f>SUM(AL21:AN24)</f>
        <v>#VALUE!</v>
      </c>
      <c r="AP24" s="107">
        <f>IF(AG1&gt;2,+AJ24-AO24,"")</f>
      </c>
      <c r="AQ24" s="573"/>
      <c r="AR24" s="185">
        <f>IF(AND(2&lt;$AG$1,$AG$1&lt;6),HLOOKUP($AG$4,$D$29:$R$36,3),"")</f>
      </c>
      <c r="AS24" s="163">
        <f>IF(AND(2&lt;$AG$1,$AG$1&lt;6),"／","")</f>
      </c>
      <c r="AT24" s="208">
        <f>IF(AND(2&lt;$AG$1,$AG$1&lt;6),HLOOKUP($AG$4,$D$29:$R$36,5),"")</f>
      </c>
    </row>
    <row r="25" spans="1:46" ht="12.75" customHeight="1">
      <c r="A25" s="115"/>
      <c r="B25" s="190" t="s">
        <v>149</v>
      </c>
      <c r="C25" s="133">
        <f>SUM(G25:R25)</f>
        <v>319384</v>
      </c>
      <c r="D25" s="133">
        <f t="shared" si="3"/>
        <v>0</v>
      </c>
      <c r="E25" s="133">
        <f t="shared" si="3"/>
        <v>0</v>
      </c>
      <c r="F25" s="133">
        <f t="shared" si="3"/>
        <v>0</v>
      </c>
      <c r="G25" s="205">
        <f aca="true" t="shared" si="4" ref="G25:Q25">IF(G22&gt;0,INT(+$H$6*G22/G24),0)</f>
        <v>146384</v>
      </c>
      <c r="H25" s="205">
        <f t="shared" si="4"/>
        <v>173000</v>
      </c>
      <c r="I25" s="205">
        <f t="shared" si="4"/>
        <v>0</v>
      </c>
      <c r="J25" s="205">
        <f t="shared" si="4"/>
        <v>0</v>
      </c>
      <c r="K25" s="205">
        <f t="shared" si="4"/>
        <v>0</v>
      </c>
      <c r="L25" s="205">
        <f t="shared" si="4"/>
        <v>0</v>
      </c>
      <c r="M25" s="205">
        <f t="shared" si="4"/>
        <v>0</v>
      </c>
      <c r="N25" s="205">
        <f t="shared" si="4"/>
        <v>0</v>
      </c>
      <c r="O25" s="205">
        <f t="shared" si="4"/>
        <v>0</v>
      </c>
      <c r="P25" s="205">
        <f t="shared" si="4"/>
        <v>0</v>
      </c>
      <c r="Q25" s="205">
        <f t="shared" si="4"/>
        <v>0</v>
      </c>
      <c r="R25" s="205">
        <f>IF(R22&gt;0,INT(+$H$6*R22/R24),0)</f>
        <v>0</v>
      </c>
      <c r="V25" s="48"/>
      <c r="W25" s="48"/>
      <c r="X25" s="48"/>
      <c r="Y25" s="48"/>
      <c r="Z25" s="48"/>
      <c r="AA25" s="48"/>
      <c r="AC25" s="149"/>
      <c r="AD25" s="86"/>
      <c r="AE25" s="91"/>
      <c r="AF25" s="91"/>
      <c r="AG25" s="544"/>
      <c r="AH25" s="545"/>
      <c r="AI25" s="91"/>
      <c r="AJ25" s="92"/>
      <c r="AK25" s="94"/>
      <c r="AL25" s="95"/>
      <c r="AM25" s="552">
        <f>IF(Q8="","",IF(((AJ28*0.004)-INT(AJ28*0.004))=0.5,ROUNDDOWN(AJ28*0.004,0),ROUND(AJ28*0.004,0)))</f>
      </c>
      <c r="AN25" s="553"/>
      <c r="AO25" s="96"/>
      <c r="AP25" s="93"/>
      <c r="AQ25" s="1"/>
      <c r="AR25" s="159">
        <f>IF(AND(3&lt;$AG$1,$AG$1&lt;6),+L8,"")</f>
      </c>
      <c r="AS25" s="166"/>
      <c r="AT25" s="167"/>
    </row>
    <row r="26" spans="1:46" ht="12.75" customHeight="1">
      <c r="A26" s="146"/>
      <c r="B26" s="127"/>
      <c r="C26" s="176" t="s">
        <v>150</v>
      </c>
      <c r="D26" s="176">
        <f t="shared" si="3"/>
        <v>0</v>
      </c>
      <c r="E26" s="176">
        <f t="shared" si="3"/>
        <v>0</v>
      </c>
      <c r="F26" s="176">
        <f t="shared" si="3"/>
        <v>0</v>
      </c>
      <c r="G26" s="218"/>
      <c r="H26" s="218">
        <v>1</v>
      </c>
      <c r="I26" s="218"/>
      <c r="J26" s="218"/>
      <c r="K26" s="218"/>
      <c r="L26" s="218"/>
      <c r="M26" s="218"/>
      <c r="N26" s="218"/>
      <c r="O26" s="218"/>
      <c r="P26" s="218"/>
      <c r="Q26" s="218"/>
      <c r="R26" s="218"/>
      <c r="S26" s="58" t="s">
        <v>154</v>
      </c>
      <c r="T26" s="202"/>
      <c r="U26" s="203"/>
      <c r="V26" s="202"/>
      <c r="W26" s="203"/>
      <c r="X26" s="203"/>
      <c r="Y26" s="204"/>
      <c r="Z26" s="204"/>
      <c r="AA26" s="48"/>
      <c r="AC26" s="150">
        <f>IF(AND(3&lt;$AG$1,$AG$1&lt;6),"非常勤","")</f>
      </c>
      <c r="AD26" s="117"/>
      <c r="AE26" s="97"/>
      <c r="AF26" s="97"/>
      <c r="AG26" s="530"/>
      <c r="AH26" s="531"/>
      <c r="AI26" s="97"/>
      <c r="AJ26" s="98"/>
      <c r="AK26" s="100"/>
      <c r="AL26" s="101"/>
      <c r="AM26" s="554"/>
      <c r="AN26" s="555"/>
      <c r="AO26" s="102"/>
      <c r="AP26" s="99"/>
      <c r="AQ26" s="3"/>
      <c r="AR26" s="168">
        <f>IF(AND(3&lt;$AG$1,$AG$1&lt;6,$AL$1=1),+S8,IF(AND(3&lt;$AG$1,$AG$1&lt;6,$AL$1=2),+V8,IF(AND(3&lt;$AG$1,$AG$1&lt;6,$AL$1=3),+Y8,"")))</f>
      </c>
      <c r="AS26" s="163">
        <f>IF(AND(3&lt;$AG$1,$AG$1&lt;6),"～","")</f>
      </c>
      <c r="AT26" s="171">
        <f>IF(AND(3&lt;$AG$1,$AG$1&lt;6,$AL$1=1),+U8,IF(AND(3&lt;$AG$1,$AG$1&lt;6,$AL$1=2),+X8,IF(AND(3&lt;$AG$1,$AG$1&lt;6,$AL$1=3),+AA8,"")))</f>
      </c>
    </row>
    <row r="27" spans="2:46" ht="12.75" customHeight="1">
      <c r="B27" s="128"/>
      <c r="C27" s="193">
        <f>SUM(G27:R27)</f>
        <v>0</v>
      </c>
      <c r="D27" s="193">
        <f t="shared" si="3"/>
        <v>0</v>
      </c>
      <c r="E27" s="193">
        <f t="shared" si="3"/>
        <v>0</v>
      </c>
      <c r="F27" s="193">
        <f t="shared" si="3"/>
        <v>0</v>
      </c>
      <c r="G27" s="128">
        <f aca="true" t="shared" si="5" ref="G27:R27">IF(G26=1,+$K$6,0)</f>
        <v>0</v>
      </c>
      <c r="H27" s="128">
        <f>IF(H26=1,+$K$6,0)</f>
        <v>0</v>
      </c>
      <c r="I27" s="128">
        <f t="shared" si="5"/>
        <v>0</v>
      </c>
      <c r="J27" s="128">
        <f t="shared" si="5"/>
        <v>0</v>
      </c>
      <c r="K27" s="128">
        <f t="shared" si="5"/>
        <v>0</v>
      </c>
      <c r="L27" s="128">
        <f t="shared" si="5"/>
        <v>0</v>
      </c>
      <c r="M27" s="128">
        <f t="shared" si="5"/>
        <v>0</v>
      </c>
      <c r="N27" s="128">
        <f t="shared" si="5"/>
        <v>0</v>
      </c>
      <c r="O27" s="128">
        <f t="shared" si="5"/>
        <v>0</v>
      </c>
      <c r="P27" s="128">
        <f t="shared" si="5"/>
        <v>0</v>
      </c>
      <c r="Q27" s="128">
        <f t="shared" si="5"/>
        <v>0</v>
      </c>
      <c r="R27" s="128">
        <f t="shared" si="5"/>
        <v>0</v>
      </c>
      <c r="V27" s="48"/>
      <c r="W27" s="48"/>
      <c r="X27" s="48"/>
      <c r="Y27" s="48"/>
      <c r="Z27" s="48"/>
      <c r="AA27" s="48"/>
      <c r="AC27" s="150">
        <f>IF(AND(3&lt;$AG$1,$AG$1&lt;6),"講　師","")</f>
      </c>
      <c r="AD27" s="88">
        <f>IF(AND(3&lt;$AG$1,$AG$1&lt;6),+C8,"")</f>
      </c>
      <c r="AE27" s="97"/>
      <c r="AF27" s="97">
        <f>IF(AND(3&lt;$AG$1,$AG$1&lt;6),HLOOKUP($AG$4,$D$38:$R$45,8),"")</f>
      </c>
      <c r="AG27" s="530"/>
      <c r="AH27" s="531"/>
      <c r="AI27" s="97"/>
      <c r="AJ27" s="98"/>
      <c r="AK27" s="100"/>
      <c r="AL27" s="101"/>
      <c r="AM27" s="554"/>
      <c r="AN27" s="555"/>
      <c r="AO27" s="102"/>
      <c r="AP27" s="99"/>
      <c r="AQ27" s="3"/>
      <c r="AR27" s="185">
        <f>IF(AND(3&lt;$AG$1,$AG$1&lt;6)," 173,000円×","")</f>
      </c>
      <c r="AT27" s="207"/>
    </row>
    <row r="28" spans="3:46" ht="12.75" customHeight="1">
      <c r="C28" s="36"/>
      <c r="D28" s="36"/>
      <c r="E28" s="36"/>
      <c r="F28" s="36"/>
      <c r="AC28" s="150"/>
      <c r="AD28" s="80"/>
      <c r="AE28" s="103"/>
      <c r="AF28" s="97">
        <f>IF(AND(3&lt;$AG$1,$AG$1&lt;6),HLOOKUP($AG$4,$D$38:$R$44,6),"")</f>
      </c>
      <c r="AG28" s="530"/>
      <c r="AH28" s="531"/>
      <c r="AI28" s="103"/>
      <c r="AJ28" s="532">
        <f>SUM(AE25:AI28)</f>
        <v>0</v>
      </c>
      <c r="AK28" s="533"/>
      <c r="AL28" s="105" t="e">
        <f>IF((AF28-SUM(AM25:AN28)+P8)&lt;88000,INT((AF28-SUM(AM25:AN28)+P8)*0.03063),VLOOKUP((AF28-SUM(AM25:AN28)+P8),'税額表'!$B$3:$C$118,2,TRUE))</f>
        <v>#VALUE!</v>
      </c>
      <c r="AM28" s="608"/>
      <c r="AN28" s="609"/>
      <c r="AO28" s="106" t="e">
        <f>SUM(AL25:AN28)</f>
        <v>#VALUE!</v>
      </c>
      <c r="AP28" s="107">
        <f>IF(AG1&gt;3,+AJ28-AO28,"")</f>
      </c>
      <c r="AQ28" s="2"/>
      <c r="AR28" s="185">
        <f>IF(AND(3&lt;$AG$1,$AG$1&lt;6),HLOOKUP($AG$4,$D$29:$R$36,3),"")</f>
      </c>
      <c r="AS28" s="163">
        <f>IF(AND(3&lt;$AG$1,$AG$1&lt;6),"／","")</f>
      </c>
      <c r="AT28" s="208">
        <f>IF(AND(3&lt;$AG$1,$AG$1&lt;6),HLOOKUP($AG$4,$D$29:$R$36,5),"")</f>
      </c>
    </row>
    <row r="29" spans="2:46" ht="12.75" customHeight="1">
      <c r="B29" s="123" t="s">
        <v>157</v>
      </c>
      <c r="C29" s="141" t="s">
        <v>125</v>
      </c>
      <c r="D29" s="141">
        <f aca="true" t="shared" si="6" ref="D29:F36">P29</f>
        <v>1</v>
      </c>
      <c r="E29" s="141">
        <f t="shared" si="6"/>
        <v>2</v>
      </c>
      <c r="F29" s="141">
        <f t="shared" si="6"/>
        <v>3</v>
      </c>
      <c r="G29" s="124">
        <v>4</v>
      </c>
      <c r="H29" s="124">
        <v>5</v>
      </c>
      <c r="I29" s="124">
        <v>6</v>
      </c>
      <c r="J29" s="124">
        <v>7</v>
      </c>
      <c r="K29" s="124">
        <v>8</v>
      </c>
      <c r="L29" s="124">
        <v>9</v>
      </c>
      <c r="M29" s="124">
        <v>10</v>
      </c>
      <c r="N29" s="124">
        <v>11</v>
      </c>
      <c r="O29" s="124">
        <v>12</v>
      </c>
      <c r="P29" s="124">
        <v>1</v>
      </c>
      <c r="Q29" s="124">
        <v>2</v>
      </c>
      <c r="R29" s="124">
        <v>3</v>
      </c>
      <c r="V29" s="148"/>
      <c r="W29" s="148"/>
      <c r="X29" s="148"/>
      <c r="Y29" s="148"/>
      <c r="Z29" s="148"/>
      <c r="AA29" s="148"/>
      <c r="AC29" s="149"/>
      <c r="AD29" s="86"/>
      <c r="AE29" s="91"/>
      <c r="AF29" s="91"/>
      <c r="AG29" s="544"/>
      <c r="AH29" s="545"/>
      <c r="AI29" s="91"/>
      <c r="AJ29" s="92"/>
      <c r="AK29" s="94"/>
      <c r="AL29" s="95"/>
      <c r="AM29" s="552">
        <f>IF(Q9="","",IF(((AJ32*0.004)-INT(AJ32*0.004))=0.5,ROUNDDOWN(AJ32*0.004,0),ROUND(AJ32*0.004,0)))</f>
      </c>
      <c r="AN29" s="553"/>
      <c r="AO29" s="96"/>
      <c r="AP29" s="93"/>
      <c r="AQ29" s="1"/>
      <c r="AR29" s="159">
        <f>IF(AND(4&lt;$AG$1,$AG$1&lt;6),+L9,"")</f>
      </c>
      <c r="AS29" s="166"/>
      <c r="AT29" s="167"/>
    </row>
    <row r="30" spans="2:46" ht="12.75" customHeight="1">
      <c r="B30" s="125"/>
      <c r="C30" s="125"/>
      <c r="D30" s="125" t="str">
        <f t="shared" si="6"/>
        <v>実日数</v>
      </c>
      <c r="E30" s="125" t="str">
        <f t="shared" si="6"/>
        <v>実日数</v>
      </c>
      <c r="F30" s="125" t="str">
        <f t="shared" si="6"/>
        <v>実日数</v>
      </c>
      <c r="G30" s="125" t="s">
        <v>151</v>
      </c>
      <c r="H30" s="125" t="s">
        <v>151</v>
      </c>
      <c r="I30" s="125" t="s">
        <v>151</v>
      </c>
      <c r="J30" s="125" t="s">
        <v>151</v>
      </c>
      <c r="K30" s="125" t="s">
        <v>151</v>
      </c>
      <c r="L30" s="125" t="s">
        <v>151</v>
      </c>
      <c r="M30" s="125" t="s">
        <v>151</v>
      </c>
      <c r="N30" s="125" t="s">
        <v>151</v>
      </c>
      <c r="O30" s="125" t="s">
        <v>151</v>
      </c>
      <c r="P30" s="125" t="s">
        <v>151</v>
      </c>
      <c r="Q30" s="125" t="s">
        <v>151</v>
      </c>
      <c r="R30" s="125" t="s">
        <v>151</v>
      </c>
      <c r="V30" s="148"/>
      <c r="W30" s="148"/>
      <c r="X30" s="148"/>
      <c r="Y30" s="148"/>
      <c r="Z30" s="148"/>
      <c r="AA30" s="148"/>
      <c r="AC30" s="150">
        <f>IF(AND(4&lt;$AG$1,$AG$1&lt;6),"非常勤","")</f>
      </c>
      <c r="AD30" s="117"/>
      <c r="AE30" s="97"/>
      <c r="AF30" s="97"/>
      <c r="AG30" s="530"/>
      <c r="AH30" s="531"/>
      <c r="AI30" s="97"/>
      <c r="AJ30" s="98"/>
      <c r="AK30" s="100"/>
      <c r="AL30" s="101"/>
      <c r="AM30" s="554"/>
      <c r="AN30" s="555"/>
      <c r="AO30" s="102"/>
      <c r="AP30" s="99"/>
      <c r="AQ30" s="3"/>
      <c r="AR30" s="168">
        <f>IF(AND(4&lt;$AG$1,$AG$1&lt;6,$AL$1=1),+S9,IF(AND(4&lt;$AG$1,$AG$1&lt;6,$AL$1=2),+V9,IF(AND(4&lt;$AG$1,$AG$1&lt;6,$AL$1=3),+Y9,"")))</f>
      </c>
      <c r="AS30" s="163">
        <f>IF(AND(4&lt;$AG$1,$AG$1&lt;6),"～","")</f>
      </c>
      <c r="AT30" s="171">
        <f>IF(AND(4&lt;$AG$1,$AG$1&lt;6,$AL$1=1),+U9,IF(AND(4&lt;$AG$1,$AG$1&lt;6,$AL$1=2),+X9,IF(AND(4&lt;$AG$1,$AG$1&lt;6,$AL$1=3),+AA9,"")))</f>
      </c>
    </row>
    <row r="31" spans="2:46" ht="12.75" customHeight="1">
      <c r="B31" s="126"/>
      <c r="C31" s="127"/>
      <c r="D31" s="127">
        <f t="shared" si="6"/>
        <v>0</v>
      </c>
      <c r="E31" s="127">
        <f t="shared" si="6"/>
        <v>0</v>
      </c>
      <c r="F31" s="127">
        <f t="shared" si="6"/>
        <v>0</v>
      </c>
      <c r="G31" s="217"/>
      <c r="H31" s="217"/>
      <c r="I31" s="217"/>
      <c r="J31" s="217"/>
      <c r="K31" s="217"/>
      <c r="L31" s="217"/>
      <c r="M31" s="217"/>
      <c r="N31" s="217"/>
      <c r="O31" s="217"/>
      <c r="P31" s="217"/>
      <c r="Q31" s="217"/>
      <c r="R31" s="217"/>
      <c r="V31" s="37"/>
      <c r="W31" s="37"/>
      <c r="X31" s="37"/>
      <c r="Y31" s="37"/>
      <c r="Z31" s="37"/>
      <c r="AA31" s="37"/>
      <c r="AC31" s="150">
        <f>IF(AND(4&lt;$AG$1,$AG$1&lt;6),"講　師","")</f>
      </c>
      <c r="AD31" s="88">
        <f>IF(AND(4&lt;$AG$1,$AG$1&lt;6),+C9,"")</f>
      </c>
      <c r="AE31" s="97"/>
      <c r="AF31" s="97">
        <f>IF(AND(4&lt;$AG$1,$AG$1&lt;6),HLOOKUP($AG$4,$D$47:$R$54,8),"")</f>
      </c>
      <c r="AG31" s="530"/>
      <c r="AH31" s="531"/>
      <c r="AI31" s="97"/>
      <c r="AJ31" s="98"/>
      <c r="AK31" s="100"/>
      <c r="AL31" s="101"/>
      <c r="AM31" s="554"/>
      <c r="AN31" s="555"/>
      <c r="AO31" s="102"/>
      <c r="AP31" s="99"/>
      <c r="AQ31" s="3"/>
      <c r="AR31" s="185">
        <f>IF(AND(4&lt;$AG$1,$AG$1&lt;6)," 173,000円×","")</f>
      </c>
      <c r="AT31" s="207"/>
    </row>
    <row r="32" spans="2:46" ht="12.75" customHeight="1">
      <c r="B32" s="189"/>
      <c r="C32" s="194"/>
      <c r="D32" s="194" t="str">
        <f t="shared" si="6"/>
        <v>総日数</v>
      </c>
      <c r="E32" s="194" t="str">
        <f t="shared" si="6"/>
        <v>総日数</v>
      </c>
      <c r="F32" s="194" t="str">
        <f t="shared" si="6"/>
        <v>総日数</v>
      </c>
      <c r="G32" s="189" t="s">
        <v>152</v>
      </c>
      <c r="H32" s="189" t="s">
        <v>152</v>
      </c>
      <c r="I32" s="189" t="s">
        <v>152</v>
      </c>
      <c r="J32" s="189" t="s">
        <v>152</v>
      </c>
      <c r="K32" s="189" t="s">
        <v>152</v>
      </c>
      <c r="L32" s="189" t="s">
        <v>152</v>
      </c>
      <c r="M32" s="189" t="s">
        <v>152</v>
      </c>
      <c r="N32" s="189" t="s">
        <v>152</v>
      </c>
      <c r="O32" s="189" t="s">
        <v>152</v>
      </c>
      <c r="P32" s="189" t="s">
        <v>152</v>
      </c>
      <c r="Q32" s="189" t="s">
        <v>152</v>
      </c>
      <c r="R32" s="189" t="s">
        <v>152</v>
      </c>
      <c r="V32" s="37"/>
      <c r="W32" s="37"/>
      <c r="X32" s="37"/>
      <c r="Y32" s="37"/>
      <c r="Z32" s="37"/>
      <c r="AA32" s="37"/>
      <c r="AC32" s="151"/>
      <c r="AD32" s="80"/>
      <c r="AE32" s="103"/>
      <c r="AF32" s="103">
        <f>IF(AND(4&lt;$AG$1,$AG$1&lt;6),HLOOKUP($AG$4,$D$47:$R$53,6),"")</f>
      </c>
      <c r="AG32" s="530"/>
      <c r="AH32" s="531"/>
      <c r="AI32" s="103"/>
      <c r="AJ32" s="532">
        <f>SUM(AE29:AI32)</f>
        <v>0</v>
      </c>
      <c r="AK32" s="533"/>
      <c r="AL32" s="105" t="e">
        <f>IF((AF32-SUM(AM29:AN32)+P9)&lt;88000,INT((AF32-SUM(AM29:AN32)+P9)*0.03063),VLOOKUP((AF32-SUM(AM29:AN32)+P9),'税額表'!$B$3:$C$118,2,TRUE))</f>
        <v>#VALUE!</v>
      </c>
      <c r="AM32" s="554"/>
      <c r="AN32" s="555"/>
      <c r="AO32" s="106" t="e">
        <f>SUM(AL29:AN32)</f>
        <v>#VALUE!</v>
      </c>
      <c r="AP32" s="107">
        <f>IF(AG1&gt;4,+AJ32-AO32,"")</f>
      </c>
      <c r="AQ32" s="2"/>
      <c r="AR32" s="185">
        <f>IF(AND(4&lt;$AG$1,$AG$1&lt;6),HLOOKUP($AG$4,$D$29:$R$36,3),"")</f>
      </c>
      <c r="AS32" s="163">
        <f>IF(AND(4&lt;$AG$1,$AG$1&lt;6),"／","")</f>
      </c>
      <c r="AT32" s="208">
        <f>IF(AND(4&lt;$AG$1,$AG$1&lt;6),HLOOKUP($AG$4,$D$29:$R$36,5),"")</f>
      </c>
    </row>
    <row r="33" spans="2:46" ht="12.75" customHeight="1">
      <c r="B33" s="175"/>
      <c r="C33" s="192"/>
      <c r="D33" s="192">
        <f t="shared" si="6"/>
        <v>0</v>
      </c>
      <c r="E33" s="192">
        <f t="shared" si="6"/>
        <v>0</v>
      </c>
      <c r="F33" s="192">
        <f t="shared" si="6"/>
        <v>0</v>
      </c>
      <c r="G33" s="221"/>
      <c r="H33" s="221"/>
      <c r="I33" s="221"/>
      <c r="J33" s="221"/>
      <c r="K33" s="221"/>
      <c r="L33" s="221"/>
      <c r="M33" s="221"/>
      <c r="N33" s="221"/>
      <c r="O33" s="221"/>
      <c r="P33" s="221"/>
      <c r="Q33" s="221"/>
      <c r="R33" s="221"/>
      <c r="V33" s="37"/>
      <c r="W33" s="37"/>
      <c r="X33" s="37"/>
      <c r="Y33" s="37"/>
      <c r="Z33" s="37"/>
      <c r="AA33" s="37"/>
      <c r="AC33" s="150"/>
      <c r="AD33" s="88"/>
      <c r="AE33" s="97"/>
      <c r="AF33" s="97"/>
      <c r="AG33" s="544"/>
      <c r="AH33" s="545"/>
      <c r="AI33" s="97"/>
      <c r="AJ33" s="98"/>
      <c r="AK33" s="100"/>
      <c r="AL33" s="101"/>
      <c r="AM33" s="544"/>
      <c r="AN33" s="545"/>
      <c r="AO33" s="102"/>
      <c r="AP33" s="99"/>
      <c r="AQ33" s="3"/>
      <c r="AR33" s="159"/>
      <c r="AS33" s="166"/>
      <c r="AT33" s="167"/>
    </row>
    <row r="34" spans="2:46" ht="12.75" customHeight="1">
      <c r="B34" s="190" t="s">
        <v>149</v>
      </c>
      <c r="C34" s="133">
        <f>SUM(G34:R34)</f>
        <v>0</v>
      </c>
      <c r="D34" s="133">
        <f t="shared" si="6"/>
        <v>0</v>
      </c>
      <c r="E34" s="133">
        <f t="shared" si="6"/>
        <v>0</v>
      </c>
      <c r="F34" s="133">
        <f t="shared" si="6"/>
        <v>0</v>
      </c>
      <c r="G34" s="205">
        <f aca="true" t="shared" si="7" ref="G34:R34">IF(G31&gt;0,INT(+$H$7*G31/G33),0)</f>
        <v>0</v>
      </c>
      <c r="H34" s="205">
        <f t="shared" si="7"/>
        <v>0</v>
      </c>
      <c r="I34" s="205">
        <f t="shared" si="7"/>
        <v>0</v>
      </c>
      <c r="J34" s="205">
        <f t="shared" si="7"/>
        <v>0</v>
      </c>
      <c r="K34" s="205">
        <f t="shared" si="7"/>
        <v>0</v>
      </c>
      <c r="L34" s="205">
        <f t="shared" si="7"/>
        <v>0</v>
      </c>
      <c r="M34" s="205">
        <f t="shared" si="7"/>
        <v>0</v>
      </c>
      <c r="N34" s="205">
        <f t="shared" si="7"/>
        <v>0</v>
      </c>
      <c r="O34" s="205">
        <f t="shared" si="7"/>
        <v>0</v>
      </c>
      <c r="P34" s="205">
        <f t="shared" si="7"/>
        <v>0</v>
      </c>
      <c r="Q34" s="205">
        <f t="shared" si="7"/>
        <v>0</v>
      </c>
      <c r="R34" s="205">
        <f t="shared" si="7"/>
        <v>0</v>
      </c>
      <c r="V34" s="48"/>
      <c r="W34" s="48"/>
      <c r="X34" s="48"/>
      <c r="Y34" s="48"/>
      <c r="Z34" s="48"/>
      <c r="AA34" s="48"/>
      <c r="AC34" s="150">
        <f>IF(AND(5&lt;$AG$1,$AG$1&lt;6),"非常勤","")</f>
      </c>
      <c r="AD34" s="88"/>
      <c r="AE34" s="97"/>
      <c r="AF34" s="97"/>
      <c r="AG34" s="530"/>
      <c r="AH34" s="531"/>
      <c r="AI34" s="97"/>
      <c r="AJ34" s="98"/>
      <c r="AK34" s="100"/>
      <c r="AL34" s="101"/>
      <c r="AM34" s="552"/>
      <c r="AN34" s="553"/>
      <c r="AO34" s="102"/>
      <c r="AP34" s="99"/>
      <c r="AQ34" s="3"/>
      <c r="AR34" s="168"/>
      <c r="AS34" s="163"/>
      <c r="AT34" s="171"/>
    </row>
    <row r="35" spans="2:46" ht="12.75" customHeight="1">
      <c r="B35" s="177"/>
      <c r="C35" s="176" t="s">
        <v>150</v>
      </c>
      <c r="D35" s="176">
        <f t="shared" si="6"/>
        <v>0</v>
      </c>
      <c r="E35" s="176">
        <f t="shared" si="6"/>
        <v>0</v>
      </c>
      <c r="F35" s="176">
        <f t="shared" si="6"/>
        <v>0</v>
      </c>
      <c r="G35" s="218"/>
      <c r="H35" s="218"/>
      <c r="I35" s="218"/>
      <c r="J35" s="218"/>
      <c r="K35" s="218"/>
      <c r="L35" s="218"/>
      <c r="M35" s="218"/>
      <c r="N35" s="218"/>
      <c r="O35" s="218"/>
      <c r="P35" s="218"/>
      <c r="Q35" s="218"/>
      <c r="R35" s="218"/>
      <c r="S35" s="58" t="s">
        <v>154</v>
      </c>
      <c r="T35" s="202"/>
      <c r="U35" s="203"/>
      <c r="V35" s="202"/>
      <c r="W35" s="203"/>
      <c r="X35" s="203"/>
      <c r="Y35" s="204"/>
      <c r="Z35" s="204"/>
      <c r="AA35" s="48"/>
      <c r="AC35" s="150">
        <f>IF(AND(5&lt;$AG$1,$AG$1&lt;6),"講　師","")</f>
      </c>
      <c r="AD35" s="88">
        <f>IF(AND(5&lt;$AG$1,$AG$1&lt;6),+C10,"")</f>
      </c>
      <c r="AE35" s="97"/>
      <c r="AF35" s="97">
        <f>IF(AND(5&lt;$AG$1,$AG$1&lt;6),+H10,"")</f>
      </c>
      <c r="AG35" s="530"/>
      <c r="AH35" s="531"/>
      <c r="AI35" s="97"/>
      <c r="AJ35" s="98"/>
      <c r="AK35" s="100"/>
      <c r="AL35" s="101"/>
      <c r="AM35" s="552"/>
      <c r="AN35" s="553"/>
      <c r="AO35" s="102"/>
      <c r="AP35" s="99"/>
      <c r="AQ35" s="3"/>
      <c r="AR35" s="185"/>
      <c r="AT35" s="207"/>
    </row>
    <row r="36" spans="2:46" ht="12.75" customHeight="1">
      <c r="B36" s="128"/>
      <c r="C36" s="193">
        <f>SUM(G36:R36)</f>
        <v>0</v>
      </c>
      <c r="D36" s="193">
        <f t="shared" si="6"/>
        <v>0</v>
      </c>
      <c r="E36" s="193">
        <f t="shared" si="6"/>
        <v>0</v>
      </c>
      <c r="F36" s="193">
        <f t="shared" si="6"/>
        <v>0</v>
      </c>
      <c r="G36" s="128">
        <f aca="true" t="shared" si="8" ref="G36:R36">IF(G35=1,+$K$7,0)</f>
        <v>0</v>
      </c>
      <c r="H36" s="128">
        <f>IF(H35=1,+$K$7,0)</f>
        <v>0</v>
      </c>
      <c r="I36" s="128">
        <f t="shared" si="8"/>
        <v>0</v>
      </c>
      <c r="J36" s="128">
        <f t="shared" si="8"/>
        <v>0</v>
      </c>
      <c r="K36" s="128">
        <f t="shared" si="8"/>
        <v>0</v>
      </c>
      <c r="L36" s="128">
        <f t="shared" si="8"/>
        <v>0</v>
      </c>
      <c r="M36" s="128">
        <f t="shared" si="8"/>
        <v>0</v>
      </c>
      <c r="N36" s="128">
        <f t="shared" si="8"/>
        <v>0</v>
      </c>
      <c r="O36" s="128">
        <f t="shared" si="8"/>
        <v>0</v>
      </c>
      <c r="P36" s="128">
        <f t="shared" si="8"/>
        <v>0</v>
      </c>
      <c r="Q36" s="128">
        <f t="shared" si="8"/>
        <v>0</v>
      </c>
      <c r="R36" s="128">
        <f t="shared" si="8"/>
        <v>0</v>
      </c>
      <c r="V36" s="48"/>
      <c r="W36" s="48"/>
      <c r="X36" s="48"/>
      <c r="Y36" s="48"/>
      <c r="Z36" s="48"/>
      <c r="AA36" s="48"/>
      <c r="AC36" s="150"/>
      <c r="AD36" s="80"/>
      <c r="AE36" s="97"/>
      <c r="AF36" s="103"/>
      <c r="AG36" s="530"/>
      <c r="AH36" s="531"/>
      <c r="AI36" s="97"/>
      <c r="AJ36" s="98"/>
      <c r="AK36" s="100"/>
      <c r="AL36" s="108"/>
      <c r="AM36" s="552"/>
      <c r="AN36" s="553"/>
      <c r="AO36" s="102"/>
      <c r="AP36" s="99"/>
      <c r="AQ36" s="3"/>
      <c r="AR36" s="185"/>
      <c r="AS36" s="163"/>
      <c r="AT36" s="208"/>
    </row>
    <row r="37" spans="29:46" ht="12.75" customHeight="1">
      <c r="AC37" s="85"/>
      <c r="AD37" s="86"/>
      <c r="AE37" s="91"/>
      <c r="AF37" s="91"/>
      <c r="AG37" s="544"/>
      <c r="AH37" s="545"/>
      <c r="AI37" s="91"/>
      <c r="AJ37" s="92"/>
      <c r="AK37" s="94"/>
      <c r="AL37" s="95"/>
      <c r="AM37" s="544"/>
      <c r="AN37" s="545"/>
      <c r="AO37" s="96"/>
      <c r="AP37" s="93"/>
      <c r="AQ37" s="1"/>
      <c r="AR37" s="4"/>
      <c r="AS37" s="12"/>
      <c r="AT37" s="11"/>
    </row>
    <row r="38" spans="2:46" ht="12.75" customHeight="1">
      <c r="B38" s="123" t="s">
        <v>158</v>
      </c>
      <c r="C38" s="141" t="s">
        <v>125</v>
      </c>
      <c r="D38" s="141">
        <f aca="true" t="shared" si="9" ref="D38:D45">P38</f>
        <v>1</v>
      </c>
      <c r="E38" s="141">
        <f aca="true" t="shared" si="10" ref="E38:E45">Q38</f>
        <v>2</v>
      </c>
      <c r="F38" s="141">
        <f aca="true" t="shared" si="11" ref="F38:F45">R38</f>
        <v>3</v>
      </c>
      <c r="G38" s="124">
        <v>4</v>
      </c>
      <c r="H38" s="124">
        <v>5</v>
      </c>
      <c r="I38" s="124">
        <v>6</v>
      </c>
      <c r="J38" s="124">
        <v>7</v>
      </c>
      <c r="K38" s="124">
        <v>8</v>
      </c>
      <c r="L38" s="124">
        <v>9</v>
      </c>
      <c r="M38" s="124">
        <v>10</v>
      </c>
      <c r="N38" s="124">
        <v>11</v>
      </c>
      <c r="O38" s="124">
        <v>12</v>
      </c>
      <c r="P38" s="124">
        <v>1</v>
      </c>
      <c r="Q38" s="124">
        <v>2</v>
      </c>
      <c r="R38" s="124">
        <v>3</v>
      </c>
      <c r="V38" s="148"/>
      <c r="W38" s="148"/>
      <c r="X38" s="148"/>
      <c r="Y38" s="148"/>
      <c r="Z38" s="148"/>
      <c r="AC38" s="87">
        <f>IF(AND(6&lt;$AG$1,$AG$1&lt;6),"非常勤","")</f>
      </c>
      <c r="AD38" s="566"/>
      <c r="AE38" s="97"/>
      <c r="AF38" s="97"/>
      <c r="AG38" s="530"/>
      <c r="AH38" s="531"/>
      <c r="AI38" s="97"/>
      <c r="AJ38" s="98"/>
      <c r="AK38" s="100"/>
      <c r="AL38" s="101"/>
      <c r="AM38" s="552"/>
      <c r="AN38" s="553"/>
      <c r="AO38" s="102"/>
      <c r="AP38" s="99"/>
      <c r="AQ38" s="3"/>
      <c r="AR38" s="20"/>
      <c r="AS38" s="16"/>
      <c r="AT38" s="21"/>
    </row>
    <row r="39" spans="2:46" ht="12.75" customHeight="1">
      <c r="B39" s="125"/>
      <c r="C39" s="125"/>
      <c r="D39" s="125" t="str">
        <f t="shared" si="9"/>
        <v>実日数</v>
      </c>
      <c r="E39" s="125" t="str">
        <f t="shared" si="10"/>
        <v>実日数</v>
      </c>
      <c r="F39" s="125" t="str">
        <f t="shared" si="11"/>
        <v>実日数</v>
      </c>
      <c r="G39" s="125" t="s">
        <v>151</v>
      </c>
      <c r="H39" s="125" t="s">
        <v>151</v>
      </c>
      <c r="I39" s="125" t="s">
        <v>151</v>
      </c>
      <c r="J39" s="125" t="s">
        <v>151</v>
      </c>
      <c r="K39" s="125" t="s">
        <v>151</v>
      </c>
      <c r="L39" s="125" t="s">
        <v>151</v>
      </c>
      <c r="M39" s="125" t="s">
        <v>151</v>
      </c>
      <c r="N39" s="125" t="s">
        <v>151</v>
      </c>
      <c r="O39" s="125" t="s">
        <v>151</v>
      </c>
      <c r="P39" s="125" t="s">
        <v>151</v>
      </c>
      <c r="Q39" s="125" t="s">
        <v>151</v>
      </c>
      <c r="R39" s="125" t="s">
        <v>151</v>
      </c>
      <c r="V39" s="148"/>
      <c r="W39" s="148"/>
      <c r="X39" s="148"/>
      <c r="Y39" s="148"/>
      <c r="Z39" s="148"/>
      <c r="AC39" s="87">
        <f>IF(AND(6&lt;$AG$1,$AG$1&lt;6),"講　師","")</f>
      </c>
      <c r="AD39" s="567"/>
      <c r="AE39" s="97"/>
      <c r="AF39" s="97"/>
      <c r="AG39" s="530"/>
      <c r="AH39" s="531"/>
      <c r="AI39" s="97"/>
      <c r="AJ39" s="98"/>
      <c r="AK39" s="100"/>
      <c r="AL39" s="101"/>
      <c r="AM39" s="552"/>
      <c r="AN39" s="553"/>
      <c r="AO39" s="102"/>
      <c r="AP39" s="99"/>
      <c r="AQ39" s="3"/>
      <c r="AR39" s="19"/>
      <c r="AS39" s="16"/>
      <c r="AT39" s="14"/>
    </row>
    <row r="40" spans="2:46" ht="12.75" customHeight="1">
      <c r="B40" s="126"/>
      <c r="C40" s="127"/>
      <c r="D40" s="127">
        <f t="shared" si="9"/>
        <v>0</v>
      </c>
      <c r="E40" s="127">
        <f t="shared" si="10"/>
        <v>0</v>
      </c>
      <c r="F40" s="127">
        <f t="shared" si="11"/>
        <v>0</v>
      </c>
      <c r="G40" s="217"/>
      <c r="H40" s="217"/>
      <c r="I40" s="217"/>
      <c r="J40" s="217"/>
      <c r="K40" s="217"/>
      <c r="L40" s="217"/>
      <c r="M40" s="217"/>
      <c r="N40" s="217"/>
      <c r="O40" s="217"/>
      <c r="P40" s="217"/>
      <c r="Q40" s="217"/>
      <c r="R40" s="217"/>
      <c r="V40" s="37"/>
      <c r="W40" s="37"/>
      <c r="X40" s="37"/>
      <c r="Y40" s="37"/>
      <c r="Z40" s="37"/>
      <c r="AC40" s="79"/>
      <c r="AD40" s="80"/>
      <c r="AE40" s="103"/>
      <c r="AF40" s="103"/>
      <c r="AG40" s="530"/>
      <c r="AH40" s="531"/>
      <c r="AI40" s="103"/>
      <c r="AJ40" s="104"/>
      <c r="AK40" s="109"/>
      <c r="AL40" s="108"/>
      <c r="AM40" s="558"/>
      <c r="AN40" s="559"/>
      <c r="AO40" s="106"/>
      <c r="AP40" s="107"/>
      <c r="AQ40" s="2"/>
      <c r="AR40" s="13"/>
      <c r="AS40" s="17"/>
      <c r="AT40" s="18"/>
    </row>
    <row r="41" spans="2:46" ht="12.75" customHeight="1">
      <c r="B41" s="189"/>
      <c r="C41" s="194"/>
      <c r="D41" s="194" t="str">
        <f t="shared" si="9"/>
        <v>総日数</v>
      </c>
      <c r="E41" s="194" t="str">
        <f t="shared" si="10"/>
        <v>総日数</v>
      </c>
      <c r="F41" s="194" t="str">
        <f t="shared" si="11"/>
        <v>総日数</v>
      </c>
      <c r="G41" s="189" t="s">
        <v>152</v>
      </c>
      <c r="H41" s="189" t="s">
        <v>152</v>
      </c>
      <c r="I41" s="189" t="s">
        <v>152</v>
      </c>
      <c r="J41" s="189" t="s">
        <v>152</v>
      </c>
      <c r="K41" s="189" t="s">
        <v>152</v>
      </c>
      <c r="L41" s="189" t="s">
        <v>152</v>
      </c>
      <c r="M41" s="189" t="s">
        <v>152</v>
      </c>
      <c r="N41" s="189" t="s">
        <v>152</v>
      </c>
      <c r="O41" s="189" t="s">
        <v>152</v>
      </c>
      <c r="P41" s="189" t="s">
        <v>152</v>
      </c>
      <c r="Q41" s="189" t="s">
        <v>152</v>
      </c>
      <c r="R41" s="189" t="s">
        <v>152</v>
      </c>
      <c r="V41" s="37"/>
      <c r="W41" s="37"/>
      <c r="X41" s="37"/>
      <c r="Y41" s="37"/>
      <c r="Z41" s="37"/>
      <c r="AC41" s="85"/>
      <c r="AD41" s="86"/>
      <c r="AE41" s="91"/>
      <c r="AF41" s="91"/>
      <c r="AG41" s="544"/>
      <c r="AH41" s="545"/>
      <c r="AI41" s="91"/>
      <c r="AJ41" s="92"/>
      <c r="AK41" s="94"/>
      <c r="AL41" s="95"/>
      <c r="AM41" s="530">
        <f>SUM(AM13,AM17,AM21,AM25,AM29)</f>
        <v>1044</v>
      </c>
      <c r="AN41" s="531"/>
      <c r="AO41" s="96"/>
      <c r="AP41" s="93"/>
      <c r="AQ41" s="1"/>
      <c r="AR41" s="4"/>
      <c r="AS41" s="12"/>
      <c r="AT41" s="11"/>
    </row>
    <row r="42" spans="2:46" ht="12.75" customHeight="1">
      <c r="B42" s="175"/>
      <c r="C42" s="192"/>
      <c r="D42" s="192">
        <f t="shared" si="9"/>
        <v>0</v>
      </c>
      <c r="E42" s="192">
        <f t="shared" si="10"/>
        <v>0</v>
      </c>
      <c r="F42" s="192">
        <f t="shared" si="11"/>
        <v>0</v>
      </c>
      <c r="G42" s="221"/>
      <c r="H42" s="221"/>
      <c r="I42" s="221"/>
      <c r="J42" s="221"/>
      <c r="K42" s="221"/>
      <c r="L42" s="221"/>
      <c r="M42" s="221"/>
      <c r="N42" s="221"/>
      <c r="O42" s="221"/>
      <c r="P42" s="221"/>
      <c r="Q42" s="221"/>
      <c r="R42" s="221"/>
      <c r="V42" s="37"/>
      <c r="W42" s="37"/>
      <c r="X42" s="37"/>
      <c r="Y42" s="37"/>
      <c r="Z42" s="37"/>
      <c r="AC42" s="87"/>
      <c r="AD42" s="566" t="s">
        <v>39</v>
      </c>
      <c r="AE42" s="97"/>
      <c r="AF42" s="97"/>
      <c r="AG42" s="530"/>
      <c r="AH42" s="531"/>
      <c r="AI42" s="97"/>
      <c r="AJ42" s="98"/>
      <c r="AK42" s="100"/>
      <c r="AL42" s="101"/>
      <c r="AM42" s="530">
        <f>SUM(AM14,AM18,AM22,AM26,AM30)</f>
        <v>1000</v>
      </c>
      <c r="AN42" s="531"/>
      <c r="AO42" s="102"/>
      <c r="AP42" s="99"/>
      <c r="AQ42" s="3"/>
      <c r="AR42" s="20"/>
      <c r="AS42" s="16"/>
      <c r="AT42" s="21"/>
    </row>
    <row r="43" spans="2:46" ht="12.75" customHeight="1">
      <c r="B43" s="190" t="s">
        <v>149</v>
      </c>
      <c r="C43" s="133">
        <f>SUM(G43:R43)</f>
        <v>0</v>
      </c>
      <c r="D43" s="133">
        <f t="shared" si="9"/>
        <v>0</v>
      </c>
      <c r="E43" s="133">
        <f t="shared" si="10"/>
        <v>0</v>
      </c>
      <c r="F43" s="133">
        <f t="shared" si="11"/>
        <v>0</v>
      </c>
      <c r="G43" s="205">
        <f aca="true" t="shared" si="12" ref="G43:R43">IF(G40&gt;0,INT(+$H$7*G40/G42),0)</f>
        <v>0</v>
      </c>
      <c r="H43" s="205">
        <f t="shared" si="12"/>
        <v>0</v>
      </c>
      <c r="I43" s="205">
        <f t="shared" si="12"/>
        <v>0</v>
      </c>
      <c r="J43" s="205">
        <f t="shared" si="12"/>
        <v>0</v>
      </c>
      <c r="K43" s="205">
        <f t="shared" si="12"/>
        <v>0</v>
      </c>
      <c r="L43" s="205">
        <f t="shared" si="12"/>
        <v>0</v>
      </c>
      <c r="M43" s="205">
        <f t="shared" si="12"/>
        <v>0</v>
      </c>
      <c r="N43" s="205">
        <f t="shared" si="12"/>
        <v>0</v>
      </c>
      <c r="O43" s="205">
        <f t="shared" si="12"/>
        <v>0</v>
      </c>
      <c r="P43" s="205">
        <f t="shared" si="12"/>
        <v>0</v>
      </c>
      <c r="Q43" s="205">
        <f t="shared" si="12"/>
        <v>0</v>
      </c>
      <c r="R43" s="205">
        <f t="shared" si="12"/>
        <v>0</v>
      </c>
      <c r="V43" s="48"/>
      <c r="W43" s="48"/>
      <c r="X43" s="48"/>
      <c r="Y43" s="48"/>
      <c r="Z43" s="48"/>
      <c r="AC43" s="87"/>
      <c r="AD43" s="567"/>
      <c r="AE43" s="97"/>
      <c r="AF43" s="97">
        <f>SUM(AF13:AF32)-AF44</f>
        <v>2000</v>
      </c>
      <c r="AG43" s="530"/>
      <c r="AH43" s="531"/>
      <c r="AI43" s="97"/>
      <c r="AJ43" s="98"/>
      <c r="AK43" s="100"/>
      <c r="AL43" s="101"/>
      <c r="AM43" s="530">
        <f>SUM(AM15,AM19,AM23,AM27,AM31)</f>
        <v>16000</v>
      </c>
      <c r="AN43" s="531"/>
      <c r="AO43" s="102"/>
      <c r="AP43" s="99"/>
      <c r="AQ43" s="3"/>
      <c r="AR43" s="19"/>
      <c r="AS43" s="16"/>
      <c r="AT43" s="14"/>
    </row>
    <row r="44" spans="2:46" ht="12.75" customHeight="1" thickBot="1">
      <c r="B44" s="177"/>
      <c r="C44" s="176" t="s">
        <v>150</v>
      </c>
      <c r="D44" s="176">
        <f t="shared" si="9"/>
        <v>0</v>
      </c>
      <c r="E44" s="176">
        <f t="shared" si="10"/>
        <v>0</v>
      </c>
      <c r="F44" s="176">
        <f t="shared" si="11"/>
        <v>0</v>
      </c>
      <c r="G44" s="218"/>
      <c r="H44" s="218"/>
      <c r="I44" s="218"/>
      <c r="J44" s="218"/>
      <c r="K44" s="218"/>
      <c r="L44" s="218"/>
      <c r="M44" s="218"/>
      <c r="N44" s="218"/>
      <c r="O44" s="218"/>
      <c r="P44" s="218"/>
      <c r="Q44" s="218"/>
      <c r="R44" s="218"/>
      <c r="S44" s="58" t="s">
        <v>154</v>
      </c>
      <c r="T44" s="202"/>
      <c r="U44" s="203"/>
      <c r="V44" s="202"/>
      <c r="W44" s="203"/>
      <c r="X44" s="203"/>
      <c r="Y44" s="204"/>
      <c r="Z44" s="204"/>
      <c r="AC44" s="89"/>
      <c r="AD44" s="90"/>
      <c r="AE44" s="110"/>
      <c r="AF44" s="110">
        <f>+IF($AG$1=1,+AF16,IF($AG$1=2,AF16+AF20,IF($AG$1=3,AF16+AF20+AF24,IF($AG$1=4,AF16+AF20+AF24+AF28,AF16+AF20+AF24+AF28+AF32))))</f>
        <v>346000</v>
      </c>
      <c r="AG44" s="534"/>
      <c r="AH44" s="543"/>
      <c r="AI44" s="110"/>
      <c r="AJ44" s="534">
        <f>+IF($AG$1=1,+AJ16,IF($AG$1=2,AJ16+AJ20,IF($AG$1=3,AJ16+AJ20+AJ24,IF($AG$1=4,AJ16+AJ20+AJ24+AJ28,AJ16+AJ20+AJ24+AJ28+AJ32))))</f>
        <v>348000</v>
      </c>
      <c r="AK44" s="535"/>
      <c r="AL44" s="112">
        <f>+IF($AG$1=1,+AL16,IF($AG$1=2,AL16+AL20,IF($AG$1=3,AL16+AL20+AL24,IF($AG$1=4,AL16+AL20+AL24+AL28,AL16+AL20+AL24+AL28+AL32))))</f>
        <v>21600</v>
      </c>
      <c r="AM44" s="610">
        <f>SUM(AM16,AM20,AM24,AM28,AM32)</f>
        <v>0</v>
      </c>
      <c r="AN44" s="611"/>
      <c r="AO44" s="113">
        <f>+IF($AG$1=1,+AO16,IF($AG$1=2,AO16+AO20,IF($AG$1=3,AO16+AO20+AO24,IF($AG$1=4,AO16+AO20+AO24+AO28,AO16+AO20+AO24+AO28+AO32))))</f>
        <v>39644</v>
      </c>
      <c r="AP44" s="111">
        <f>+IF($AG$1=1,+AP16,IF($AG$1=2,AP16+AP20,IF($AG$1=3,AP16+AP20+AP24,IF($AG$1=4,AP16+AP20+AP24+AP28,AP16+AP20+AP24+AP28+AP32))))</f>
        <v>308356</v>
      </c>
      <c r="AQ44" s="6"/>
      <c r="AR44" s="26"/>
      <c r="AS44" s="27"/>
      <c r="AT44" s="28"/>
    </row>
    <row r="45" spans="2:26" ht="12.75" thickTop="1">
      <c r="B45" s="128"/>
      <c r="C45" s="193">
        <f>SUM(G45:R45)</f>
        <v>0</v>
      </c>
      <c r="D45" s="193">
        <f t="shared" si="9"/>
        <v>0</v>
      </c>
      <c r="E45" s="193">
        <f t="shared" si="10"/>
        <v>0</v>
      </c>
      <c r="F45" s="193">
        <f t="shared" si="11"/>
        <v>0</v>
      </c>
      <c r="G45" s="128">
        <f>IF(G44=1,+$K$7,0)</f>
        <v>0</v>
      </c>
      <c r="H45" s="128">
        <f>IF(H44=1,+$K$8,0)</f>
        <v>0</v>
      </c>
      <c r="I45" s="128">
        <f aca="true" t="shared" si="13" ref="I45:R45">IF(I44=1,+$K$7,0)</f>
        <v>0</v>
      </c>
      <c r="J45" s="128">
        <f t="shared" si="13"/>
        <v>0</v>
      </c>
      <c r="K45" s="128">
        <f t="shared" si="13"/>
        <v>0</v>
      </c>
      <c r="L45" s="128">
        <f t="shared" si="13"/>
        <v>0</v>
      </c>
      <c r="M45" s="128">
        <f t="shared" si="13"/>
        <v>0</v>
      </c>
      <c r="N45" s="128">
        <f t="shared" si="13"/>
        <v>0</v>
      </c>
      <c r="O45" s="128">
        <f t="shared" si="13"/>
        <v>0</v>
      </c>
      <c r="P45" s="128">
        <f t="shared" si="13"/>
        <v>0</v>
      </c>
      <c r="Q45" s="128">
        <f t="shared" si="13"/>
        <v>0</v>
      </c>
      <c r="R45" s="128">
        <f t="shared" si="13"/>
        <v>0</v>
      </c>
      <c r="V45" s="48"/>
      <c r="W45" s="48"/>
      <c r="X45" s="48"/>
      <c r="Y45" s="48"/>
      <c r="Z45" s="48"/>
    </row>
    <row r="47" spans="2:37" ht="18.75">
      <c r="B47" s="123" t="s">
        <v>159</v>
      </c>
      <c r="C47" s="141" t="s">
        <v>125</v>
      </c>
      <c r="D47" s="141">
        <f aca="true" t="shared" si="14" ref="D47:D54">P47</f>
        <v>1</v>
      </c>
      <c r="E47" s="141">
        <f aca="true" t="shared" si="15" ref="E47:E54">Q47</f>
        <v>2</v>
      </c>
      <c r="F47" s="141">
        <f aca="true" t="shared" si="16" ref="F47:F54">R47</f>
        <v>3</v>
      </c>
      <c r="G47" s="124">
        <v>4</v>
      </c>
      <c r="H47" s="124">
        <v>5</v>
      </c>
      <c r="I47" s="124">
        <v>6</v>
      </c>
      <c r="J47" s="124">
        <v>7</v>
      </c>
      <c r="K47" s="124">
        <v>8</v>
      </c>
      <c r="L47" s="124">
        <v>9</v>
      </c>
      <c r="M47" s="124">
        <v>10</v>
      </c>
      <c r="N47" s="124">
        <v>11</v>
      </c>
      <c r="O47" s="124">
        <v>12</v>
      </c>
      <c r="P47" s="124">
        <v>1</v>
      </c>
      <c r="Q47" s="124">
        <v>2</v>
      </c>
      <c r="R47" s="124">
        <v>3</v>
      </c>
      <c r="V47" s="148"/>
      <c r="W47" s="148"/>
      <c r="X47" s="148"/>
      <c r="Y47" s="148"/>
      <c r="Z47" s="148"/>
      <c r="AD47" s="33" t="s">
        <v>0</v>
      </c>
      <c r="AE47" s="74">
        <f>+AE4</f>
        <v>30</v>
      </c>
      <c r="AF47" s="32" t="s">
        <v>1</v>
      </c>
      <c r="AG47" s="546">
        <f>+AG4</f>
        <v>5</v>
      </c>
      <c r="AH47" s="546"/>
      <c r="AI47" s="32" t="s">
        <v>2</v>
      </c>
      <c r="AJ47" s="7" t="s">
        <v>3</v>
      </c>
      <c r="AK47" s="7"/>
    </row>
    <row r="48" spans="2:43" ht="12">
      <c r="B48" s="125"/>
      <c r="C48" s="125"/>
      <c r="D48" s="125" t="str">
        <f t="shared" si="14"/>
        <v>実日数</v>
      </c>
      <c r="E48" s="125" t="str">
        <f t="shared" si="15"/>
        <v>実日数</v>
      </c>
      <c r="F48" s="125" t="str">
        <f t="shared" si="16"/>
        <v>実日数</v>
      </c>
      <c r="G48" s="125" t="s">
        <v>151</v>
      </c>
      <c r="H48" s="125" t="s">
        <v>151</v>
      </c>
      <c r="I48" s="125" t="s">
        <v>151</v>
      </c>
      <c r="J48" s="125" t="s">
        <v>151</v>
      </c>
      <c r="K48" s="125" t="s">
        <v>151</v>
      </c>
      <c r="L48" s="125" t="s">
        <v>151</v>
      </c>
      <c r="M48" s="125" t="s">
        <v>151</v>
      </c>
      <c r="N48" s="125" t="s">
        <v>151</v>
      </c>
      <c r="O48" s="125" t="s">
        <v>151</v>
      </c>
      <c r="P48" s="125" t="s">
        <v>151</v>
      </c>
      <c r="Q48" s="125" t="s">
        <v>151</v>
      </c>
      <c r="R48" s="125" t="s">
        <v>151</v>
      </c>
      <c r="V48" s="148"/>
      <c r="W48" s="148"/>
      <c r="X48" s="148"/>
      <c r="Y48" s="148"/>
      <c r="Z48" s="148"/>
      <c r="AQ48" s="8" t="s">
        <v>32</v>
      </c>
    </row>
    <row r="49" spans="2:45" ht="22.5" customHeight="1">
      <c r="B49" s="126"/>
      <c r="C49" s="127"/>
      <c r="D49" s="127">
        <f t="shared" si="14"/>
        <v>0</v>
      </c>
      <c r="E49" s="127">
        <f t="shared" si="15"/>
        <v>0</v>
      </c>
      <c r="F49" s="127">
        <f t="shared" si="16"/>
        <v>0</v>
      </c>
      <c r="G49" s="217"/>
      <c r="H49" s="217"/>
      <c r="I49" s="217"/>
      <c r="J49" s="217"/>
      <c r="K49" s="217"/>
      <c r="L49" s="217"/>
      <c r="M49" s="217"/>
      <c r="N49" s="217"/>
      <c r="O49" s="217"/>
      <c r="P49" s="217"/>
      <c r="Q49" s="217"/>
      <c r="R49" s="217"/>
      <c r="V49" s="37"/>
      <c r="W49" s="37"/>
      <c r="X49" s="37"/>
      <c r="Y49" s="37"/>
      <c r="Z49" s="37"/>
      <c r="AL49" s="34" t="s">
        <v>31</v>
      </c>
      <c r="AM49" s="548" t="str">
        <f>+H2</f>
        <v>行橋小学校</v>
      </c>
      <c r="AN49" s="548"/>
      <c r="AO49" s="548"/>
      <c r="AP49" s="548"/>
      <c r="AQ49" s="74">
        <f>+C2</f>
        <v>1</v>
      </c>
      <c r="AS49" s="29" t="s">
        <v>50</v>
      </c>
    </row>
    <row r="50" spans="2:42" ht="12.75" customHeight="1" thickBot="1">
      <c r="B50" s="189"/>
      <c r="C50" s="194"/>
      <c r="D50" s="194" t="str">
        <f t="shared" si="14"/>
        <v>総日数</v>
      </c>
      <c r="E50" s="194" t="str">
        <f t="shared" si="15"/>
        <v>総日数</v>
      </c>
      <c r="F50" s="194" t="str">
        <f t="shared" si="16"/>
        <v>総日数</v>
      </c>
      <c r="G50" s="189" t="s">
        <v>152</v>
      </c>
      <c r="H50" s="189" t="s">
        <v>152</v>
      </c>
      <c r="I50" s="189" t="s">
        <v>152</v>
      </c>
      <c r="J50" s="189" t="s">
        <v>152</v>
      </c>
      <c r="K50" s="189" t="s">
        <v>152</v>
      </c>
      <c r="L50" s="189" t="s">
        <v>152</v>
      </c>
      <c r="M50" s="189" t="s">
        <v>152</v>
      </c>
      <c r="N50" s="189" t="s">
        <v>152</v>
      </c>
      <c r="O50" s="189" t="s">
        <v>152</v>
      </c>
      <c r="P50" s="189" t="s">
        <v>152</v>
      </c>
      <c r="Q50" s="189" t="s">
        <v>152</v>
      </c>
      <c r="R50" s="189" t="s">
        <v>152</v>
      </c>
      <c r="V50" s="37"/>
      <c r="W50" s="37"/>
      <c r="X50" s="37"/>
      <c r="Y50" s="37"/>
      <c r="Z50" s="37"/>
      <c r="AL50" s="30"/>
      <c r="AM50" s="31"/>
      <c r="AN50" s="31"/>
      <c r="AO50" s="31"/>
      <c r="AP50" s="31"/>
    </row>
    <row r="51" spans="2:46" ht="12.75" customHeight="1">
      <c r="B51" s="175"/>
      <c r="C51" s="192"/>
      <c r="D51" s="192">
        <f t="shared" si="14"/>
        <v>0</v>
      </c>
      <c r="E51" s="192">
        <f t="shared" si="15"/>
        <v>0</v>
      </c>
      <c r="F51" s="192">
        <f t="shared" si="16"/>
        <v>0</v>
      </c>
      <c r="G51" s="221"/>
      <c r="H51" s="221"/>
      <c r="I51" s="221"/>
      <c r="J51" s="221"/>
      <c r="K51" s="221"/>
      <c r="L51" s="221"/>
      <c r="M51" s="221"/>
      <c r="N51" s="221"/>
      <c r="O51" s="221"/>
      <c r="P51" s="221"/>
      <c r="Q51" s="221"/>
      <c r="R51" s="221"/>
      <c r="V51" s="37"/>
      <c r="W51" s="37"/>
      <c r="X51" s="37"/>
      <c r="Y51" s="37"/>
      <c r="Z51" s="37"/>
      <c r="AC51" s="582" t="s">
        <v>9</v>
      </c>
      <c r="AD51" s="568" t="s">
        <v>13</v>
      </c>
      <c r="AE51" s="77"/>
      <c r="AF51" s="570" t="s">
        <v>10</v>
      </c>
      <c r="AG51" s="570"/>
      <c r="AH51" s="570"/>
      <c r="AI51" s="570"/>
      <c r="AJ51" s="536"/>
      <c r="AK51" s="537"/>
      <c r="AL51" s="549" t="s">
        <v>21</v>
      </c>
      <c r="AM51" s="536"/>
      <c r="AN51" s="536"/>
      <c r="AO51" s="537"/>
      <c r="AP51" s="78" t="s">
        <v>18</v>
      </c>
      <c r="AQ51" s="568" t="s">
        <v>12</v>
      </c>
      <c r="AR51" s="560" t="s">
        <v>17</v>
      </c>
      <c r="AS51" s="561"/>
      <c r="AT51" s="562"/>
    </row>
    <row r="52" spans="2:46" ht="12.75" customHeight="1">
      <c r="B52" s="190" t="s">
        <v>149</v>
      </c>
      <c r="C52" s="133">
        <f>SUM(G52:R52)</f>
        <v>0</v>
      </c>
      <c r="D52" s="133">
        <f t="shared" si="14"/>
        <v>0</v>
      </c>
      <c r="E52" s="133">
        <f t="shared" si="15"/>
        <v>0</v>
      </c>
      <c r="F52" s="133">
        <f t="shared" si="16"/>
        <v>0</v>
      </c>
      <c r="G52" s="205">
        <f aca="true" t="shared" si="17" ref="G52:R52">IF(G49&gt;0,INT(+$H$7*G49/G51),0)</f>
        <v>0</v>
      </c>
      <c r="H52" s="205">
        <f t="shared" si="17"/>
        <v>0</v>
      </c>
      <c r="I52" s="205">
        <f t="shared" si="17"/>
        <v>0</v>
      </c>
      <c r="J52" s="205">
        <f t="shared" si="17"/>
        <v>0</v>
      </c>
      <c r="K52" s="205">
        <f t="shared" si="17"/>
        <v>0</v>
      </c>
      <c r="L52" s="205">
        <f t="shared" si="17"/>
        <v>0</v>
      </c>
      <c r="M52" s="205">
        <f t="shared" si="17"/>
        <v>0</v>
      </c>
      <c r="N52" s="205">
        <f t="shared" si="17"/>
        <v>0</v>
      </c>
      <c r="O52" s="205">
        <f t="shared" si="17"/>
        <v>0</v>
      </c>
      <c r="P52" s="205">
        <f t="shared" si="17"/>
        <v>0</v>
      </c>
      <c r="Q52" s="205">
        <f t="shared" si="17"/>
        <v>0</v>
      </c>
      <c r="R52" s="205">
        <f t="shared" si="17"/>
        <v>0</v>
      </c>
      <c r="V52" s="48"/>
      <c r="W52" s="48"/>
      <c r="X52" s="48"/>
      <c r="Y52" s="48"/>
      <c r="Z52" s="48"/>
      <c r="AC52" s="583"/>
      <c r="AD52" s="569"/>
      <c r="AE52" s="81" t="s">
        <v>14</v>
      </c>
      <c r="AF52" s="81" t="s">
        <v>15</v>
      </c>
      <c r="AG52" s="541"/>
      <c r="AH52" s="547"/>
      <c r="AI52" s="81"/>
      <c r="AJ52" s="541" t="s">
        <v>16</v>
      </c>
      <c r="AK52" s="542"/>
      <c r="AL52" s="82" t="s">
        <v>11</v>
      </c>
      <c r="AM52" s="550" t="str">
        <f>IF(OR($AM$15&gt;0,$AM$19&gt;0,$AM$23&gt;0),"社会保険料","")</f>
        <v>社会保険料</v>
      </c>
      <c r="AN52" s="551"/>
      <c r="AO52" s="83" t="s">
        <v>16</v>
      </c>
      <c r="AP52" s="84" t="s">
        <v>10</v>
      </c>
      <c r="AQ52" s="569"/>
      <c r="AR52" s="563"/>
      <c r="AS52" s="564"/>
      <c r="AT52" s="565"/>
    </row>
    <row r="53" spans="2:46" ht="12.75" customHeight="1">
      <c r="B53" s="177"/>
      <c r="C53" s="176" t="s">
        <v>150</v>
      </c>
      <c r="D53" s="176">
        <f t="shared" si="14"/>
        <v>0</v>
      </c>
      <c r="E53" s="176">
        <f t="shared" si="15"/>
        <v>0</v>
      </c>
      <c r="F53" s="176">
        <f t="shared" si="16"/>
        <v>0</v>
      </c>
      <c r="G53" s="218"/>
      <c r="H53" s="218"/>
      <c r="I53" s="218"/>
      <c r="J53" s="218"/>
      <c r="K53" s="218"/>
      <c r="L53" s="218"/>
      <c r="M53" s="218"/>
      <c r="N53" s="218"/>
      <c r="O53" s="218"/>
      <c r="P53" s="218"/>
      <c r="Q53" s="218"/>
      <c r="R53" s="218"/>
      <c r="S53" s="58" t="s">
        <v>154</v>
      </c>
      <c r="T53" s="202"/>
      <c r="U53" s="203"/>
      <c r="V53" s="202"/>
      <c r="W53" s="203"/>
      <c r="X53" s="203"/>
      <c r="Y53" s="204"/>
      <c r="Z53" s="204"/>
      <c r="AC53" s="85"/>
      <c r="AD53" s="86"/>
      <c r="AE53" s="91"/>
      <c r="AF53" s="91"/>
      <c r="AG53" s="544"/>
      <c r="AH53" s="545"/>
      <c r="AI53" s="91"/>
      <c r="AJ53" s="92"/>
      <c r="AK53" s="94"/>
      <c r="AL53" s="95"/>
      <c r="AM53" s="544">
        <f>+AM13</f>
        <v>525</v>
      </c>
      <c r="AN53" s="545"/>
      <c r="AO53" s="96"/>
      <c r="AP53" s="93"/>
      <c r="AQ53" s="1"/>
      <c r="AR53" s="4" t="str">
        <f aca="true" t="shared" si="18" ref="AR53:AR72">AR13</f>
        <v>病代</v>
      </c>
      <c r="AS53" s="12"/>
      <c r="AT53" s="11"/>
    </row>
    <row r="54" spans="2:46" ht="12.75" customHeight="1">
      <c r="B54" s="128"/>
      <c r="C54" s="193">
        <f>SUM(G54:R54)</f>
        <v>0</v>
      </c>
      <c r="D54" s="193">
        <f t="shared" si="14"/>
        <v>0</v>
      </c>
      <c r="E54" s="193">
        <f t="shared" si="15"/>
        <v>0</v>
      </c>
      <c r="F54" s="193">
        <f t="shared" si="16"/>
        <v>0</v>
      </c>
      <c r="G54" s="128">
        <f>IF(G53=1,+$K$7,0)</f>
        <v>0</v>
      </c>
      <c r="H54" s="128">
        <f>IF(H53=1,+$K$9,0)</f>
        <v>0</v>
      </c>
      <c r="I54" s="128">
        <f aca="true" t="shared" si="19" ref="I54:R54">IF(I53=1,+$K$7,0)</f>
        <v>0</v>
      </c>
      <c r="J54" s="128">
        <f t="shared" si="19"/>
        <v>0</v>
      </c>
      <c r="K54" s="128">
        <f t="shared" si="19"/>
        <v>0</v>
      </c>
      <c r="L54" s="128">
        <f t="shared" si="19"/>
        <v>0</v>
      </c>
      <c r="M54" s="128">
        <f t="shared" si="19"/>
        <v>0</v>
      </c>
      <c r="N54" s="128">
        <f t="shared" si="19"/>
        <v>0</v>
      </c>
      <c r="O54" s="128">
        <f t="shared" si="19"/>
        <v>0</v>
      </c>
      <c r="P54" s="128">
        <f t="shared" si="19"/>
        <v>0</v>
      </c>
      <c r="Q54" s="128">
        <f t="shared" si="19"/>
        <v>0</v>
      </c>
      <c r="R54" s="128">
        <f t="shared" si="19"/>
        <v>0</v>
      </c>
      <c r="V54" s="48"/>
      <c r="W54" s="48"/>
      <c r="X54" s="48"/>
      <c r="Y54" s="48"/>
      <c r="Z54" s="48"/>
      <c r="AC54" s="87" t="str">
        <f>AC14</f>
        <v>非常勤</v>
      </c>
      <c r="AD54" s="574" t="str">
        <f>+AD15</f>
        <v>京築　太郎</v>
      </c>
      <c r="AE54" s="97"/>
      <c r="AF54" s="97"/>
      <c r="AG54" s="530"/>
      <c r="AH54" s="531"/>
      <c r="AI54" s="97"/>
      <c r="AJ54" s="98"/>
      <c r="AK54" s="100"/>
      <c r="AL54" s="101"/>
      <c r="AM54" s="530">
        <f>+AM14</f>
        <v>1000</v>
      </c>
      <c r="AN54" s="531"/>
      <c r="AO54" s="102"/>
      <c r="AP54" s="99"/>
      <c r="AQ54" s="3"/>
      <c r="AR54" s="20">
        <f t="shared" si="18"/>
        <v>40274</v>
      </c>
      <c r="AS54" s="16" t="str">
        <f>AS14</f>
        <v>～</v>
      </c>
      <c r="AT54" s="21">
        <f>AT14</f>
        <v>40379</v>
      </c>
    </row>
    <row r="55" spans="29:46" ht="12.75" customHeight="1">
      <c r="AC55" s="87" t="str">
        <f>AC15</f>
        <v>講　師</v>
      </c>
      <c r="AD55" s="575"/>
      <c r="AE55" s="97"/>
      <c r="AF55" s="97">
        <f>AF15</f>
        <v>2000</v>
      </c>
      <c r="AG55" s="530"/>
      <c r="AH55" s="531"/>
      <c r="AI55" s="97"/>
      <c r="AJ55" s="98"/>
      <c r="AK55" s="100"/>
      <c r="AL55" s="101"/>
      <c r="AM55" s="530">
        <f>+AM15</f>
        <v>16000</v>
      </c>
      <c r="AN55" s="531"/>
      <c r="AO55" s="102"/>
      <c r="AP55" s="99"/>
      <c r="AQ55" s="3"/>
      <c r="AR55" s="231" t="str">
        <f>AR15</f>
        <v> 173,000円×</v>
      </c>
      <c r="AS55" s="16"/>
      <c r="AT55" s="73"/>
    </row>
    <row r="56" spans="2:46" ht="12.75" customHeight="1">
      <c r="B56" s="199"/>
      <c r="C56" s="391"/>
      <c r="D56" s="391"/>
      <c r="E56" s="391"/>
      <c r="F56" s="391"/>
      <c r="G56" s="391"/>
      <c r="H56" s="391"/>
      <c r="I56" s="391"/>
      <c r="J56" s="391"/>
      <c r="K56" s="391"/>
      <c r="L56" s="391"/>
      <c r="M56" s="391"/>
      <c r="N56" s="391"/>
      <c r="O56" s="391"/>
      <c r="P56" s="391"/>
      <c r="Q56" s="391"/>
      <c r="R56" s="391"/>
      <c r="S56" s="148"/>
      <c r="T56" s="147"/>
      <c r="U56" s="148"/>
      <c r="V56" s="148"/>
      <c r="W56" s="148"/>
      <c r="X56" s="148"/>
      <c r="Y56" s="148"/>
      <c r="Z56" s="148"/>
      <c r="AA56" s="148"/>
      <c r="AC56" s="87"/>
      <c r="AD56" s="80"/>
      <c r="AE56" s="103"/>
      <c r="AF56" s="103">
        <f>AF16</f>
        <v>173000</v>
      </c>
      <c r="AG56" s="530"/>
      <c r="AH56" s="531"/>
      <c r="AI56" s="103"/>
      <c r="AJ56" s="532">
        <f>AJ16</f>
        <v>175000</v>
      </c>
      <c r="AK56" s="533"/>
      <c r="AL56" s="108">
        <f>AL16</f>
        <v>9600</v>
      </c>
      <c r="AM56" s="530">
        <f>+AM16</f>
        <v>0</v>
      </c>
      <c r="AN56" s="531"/>
      <c r="AO56" s="106">
        <f>AO16</f>
        <v>27125</v>
      </c>
      <c r="AP56" s="107">
        <f>AP16</f>
        <v>147875</v>
      </c>
      <c r="AQ56" s="2"/>
      <c r="AR56" s="185">
        <f>IF(AND(0&lt;$AG$1,$AG$1&lt;6),HLOOKUP($AG$4,$D$11:$R$18,3),"")</f>
        <v>24</v>
      </c>
      <c r="AS56" s="163" t="str">
        <f>IF(AND(0&lt;$AG$1,$AG$1&lt;6),"／","")</f>
        <v>／</v>
      </c>
      <c r="AT56" s="172">
        <f>IF(AND(0&lt;$AG$1,$AG$1&lt;6),HLOOKUP($AG$4,$D$11:$R$18,5),"")</f>
        <v>24</v>
      </c>
    </row>
    <row r="57" spans="2:46" ht="12.75" customHeight="1">
      <c r="B57" s="391"/>
      <c r="C57" s="391"/>
      <c r="D57" s="391"/>
      <c r="E57" s="391"/>
      <c r="F57" s="391"/>
      <c r="G57" s="391"/>
      <c r="H57" s="391"/>
      <c r="I57" s="391"/>
      <c r="J57" s="391"/>
      <c r="K57" s="391"/>
      <c r="L57" s="391"/>
      <c r="M57" s="391"/>
      <c r="N57" s="391"/>
      <c r="O57" s="391"/>
      <c r="P57" s="391"/>
      <c r="Q57" s="391"/>
      <c r="R57" s="391"/>
      <c r="S57" s="148"/>
      <c r="T57" s="147"/>
      <c r="U57" s="148"/>
      <c r="V57" s="148"/>
      <c r="W57" s="148"/>
      <c r="X57" s="148"/>
      <c r="Y57" s="148"/>
      <c r="Z57" s="148"/>
      <c r="AA57" s="148"/>
      <c r="AC57" s="85"/>
      <c r="AD57" s="86"/>
      <c r="AE57" s="91"/>
      <c r="AF57" s="91"/>
      <c r="AG57" s="544"/>
      <c r="AH57" s="545"/>
      <c r="AI57" s="91"/>
      <c r="AJ57" s="92"/>
      <c r="AK57" s="94"/>
      <c r="AL57" s="95"/>
      <c r="AM57" s="544">
        <f aca="true" t="shared" si="20" ref="AM57:AM84">+AM17</f>
        <v>519</v>
      </c>
      <c r="AN57" s="545"/>
      <c r="AO57" s="96"/>
      <c r="AP57" s="93"/>
      <c r="AQ57" s="1"/>
      <c r="AR57" s="4" t="str">
        <f t="shared" si="18"/>
        <v>病代</v>
      </c>
      <c r="AS57" s="12"/>
      <c r="AT57" s="11"/>
    </row>
    <row r="58" spans="2:46" ht="12.75" customHeight="1">
      <c r="B58" s="199"/>
      <c r="C58" s="199"/>
      <c r="D58" s="199"/>
      <c r="E58" s="199"/>
      <c r="F58" s="199"/>
      <c r="G58" s="392"/>
      <c r="H58" s="392"/>
      <c r="I58" s="392"/>
      <c r="J58" s="392"/>
      <c r="K58" s="392"/>
      <c r="L58" s="392"/>
      <c r="M58" s="392"/>
      <c r="N58" s="392"/>
      <c r="O58" s="392"/>
      <c r="P58" s="392"/>
      <c r="Q58" s="392"/>
      <c r="R58" s="392"/>
      <c r="S58" s="148"/>
      <c r="T58" s="147"/>
      <c r="U58" s="148"/>
      <c r="V58" s="200"/>
      <c r="W58" s="200"/>
      <c r="X58" s="200"/>
      <c r="Y58" s="200"/>
      <c r="Z58" s="200"/>
      <c r="AA58" s="148"/>
      <c r="AC58" s="87" t="str">
        <f>AC18</f>
        <v>非常勤</v>
      </c>
      <c r="AD58" s="574" t="str">
        <f>+AD19</f>
        <v>福岡　次郎</v>
      </c>
      <c r="AE58" s="97"/>
      <c r="AF58" s="97"/>
      <c r="AG58" s="530"/>
      <c r="AH58" s="531"/>
      <c r="AI58" s="97"/>
      <c r="AJ58" s="98"/>
      <c r="AK58" s="100"/>
      <c r="AL58" s="101"/>
      <c r="AM58" s="530">
        <f t="shared" si="20"/>
        <v>0</v>
      </c>
      <c r="AN58" s="531"/>
      <c r="AO58" s="102"/>
      <c r="AP58" s="99"/>
      <c r="AQ58" s="3"/>
      <c r="AR58" s="20">
        <f t="shared" si="18"/>
        <v>40274</v>
      </c>
      <c r="AS58" s="16" t="str">
        <f>AS18</f>
        <v>～</v>
      </c>
      <c r="AT58" s="21">
        <f>AT18</f>
        <v>40315</v>
      </c>
    </row>
    <row r="59" spans="2:46" ht="12.75" customHeight="1">
      <c r="B59" s="391"/>
      <c r="C59" s="391"/>
      <c r="D59" s="391"/>
      <c r="E59" s="391"/>
      <c r="F59" s="391"/>
      <c r="G59" s="391"/>
      <c r="H59" s="391"/>
      <c r="I59" s="391"/>
      <c r="J59" s="391"/>
      <c r="K59" s="391"/>
      <c r="L59" s="391"/>
      <c r="M59" s="391"/>
      <c r="N59" s="391"/>
      <c r="O59" s="391"/>
      <c r="P59" s="391"/>
      <c r="Q59" s="391"/>
      <c r="R59" s="391"/>
      <c r="S59" s="148"/>
      <c r="T59" s="147"/>
      <c r="U59" s="148"/>
      <c r="V59" s="200"/>
      <c r="W59" s="200"/>
      <c r="X59" s="200"/>
      <c r="Y59" s="200"/>
      <c r="Z59" s="200"/>
      <c r="AA59" s="148"/>
      <c r="AC59" s="87" t="str">
        <f>AC19</f>
        <v>講　師</v>
      </c>
      <c r="AD59" s="575"/>
      <c r="AE59" s="97"/>
      <c r="AF59" s="97">
        <f>AF19</f>
        <v>0</v>
      </c>
      <c r="AG59" s="530"/>
      <c r="AH59" s="531"/>
      <c r="AI59" s="97"/>
      <c r="AJ59" s="98"/>
      <c r="AK59" s="100"/>
      <c r="AL59" s="101"/>
      <c r="AM59" s="530">
        <f t="shared" si="20"/>
        <v>0</v>
      </c>
      <c r="AN59" s="531"/>
      <c r="AO59" s="102"/>
      <c r="AP59" s="99"/>
      <c r="AQ59" s="3"/>
      <c r="AR59" s="185" t="str">
        <f>IF(AND(1&lt;$AG$1,$AG$1&lt;6)," 173,000円×","")</f>
        <v> 173,000円×</v>
      </c>
      <c r="AS59" s="16"/>
      <c r="AT59" s="73"/>
    </row>
    <row r="60" spans="1:46" ht="12.75" customHeight="1">
      <c r="A60" s="5"/>
      <c r="B60" s="391"/>
      <c r="C60" s="391"/>
      <c r="D60" s="391"/>
      <c r="E60" s="391"/>
      <c r="F60" s="391"/>
      <c r="G60" s="392"/>
      <c r="H60" s="392"/>
      <c r="I60" s="392"/>
      <c r="J60" s="392"/>
      <c r="K60" s="392"/>
      <c r="L60" s="392"/>
      <c r="M60" s="392"/>
      <c r="N60" s="392"/>
      <c r="O60" s="392"/>
      <c r="P60" s="392"/>
      <c r="Q60" s="392"/>
      <c r="R60" s="392"/>
      <c r="S60" s="148"/>
      <c r="T60" s="147"/>
      <c r="U60" s="148"/>
      <c r="V60" s="200"/>
      <c r="W60" s="200"/>
      <c r="X60" s="200"/>
      <c r="Y60" s="200"/>
      <c r="Z60" s="200"/>
      <c r="AA60" s="148"/>
      <c r="AC60" s="87"/>
      <c r="AD60" s="80"/>
      <c r="AE60" s="103"/>
      <c r="AF60" s="103">
        <f>AF20</f>
        <v>173000</v>
      </c>
      <c r="AG60" s="530"/>
      <c r="AH60" s="531"/>
      <c r="AI60" s="103"/>
      <c r="AJ60" s="532">
        <f>AJ20</f>
        <v>173000</v>
      </c>
      <c r="AK60" s="533"/>
      <c r="AL60" s="108">
        <f>AL20</f>
        <v>12000</v>
      </c>
      <c r="AM60" s="530">
        <f t="shared" si="20"/>
        <v>0</v>
      </c>
      <c r="AN60" s="531"/>
      <c r="AO60" s="106">
        <f>AO20</f>
        <v>12519</v>
      </c>
      <c r="AP60" s="107">
        <f>AP20</f>
        <v>160481</v>
      </c>
      <c r="AQ60" s="2"/>
      <c r="AR60" s="185">
        <f>IF(AND(1&lt;$AG$1,$AG$1&lt;6),HLOOKUP($AG$4,$D$20:$R$27,3),"")</f>
        <v>24</v>
      </c>
      <c r="AS60" s="163" t="str">
        <f>IF(AND(1&lt;$AG$1,$AG$1&lt;6),"／","")</f>
        <v>／</v>
      </c>
      <c r="AT60" s="172">
        <f>IF(AND(1&lt;$AG$1,$AG$1&lt;6),HLOOKUP($AG$4,$D$20:$R$27,5),"")</f>
        <v>24</v>
      </c>
    </row>
    <row r="61" spans="1:46" ht="12.75" customHeight="1">
      <c r="A61" s="5"/>
      <c r="B61" s="391"/>
      <c r="C61" s="199"/>
      <c r="D61" s="199"/>
      <c r="E61" s="199"/>
      <c r="F61" s="199"/>
      <c r="G61" s="199"/>
      <c r="H61" s="199"/>
      <c r="I61" s="199"/>
      <c r="J61" s="199"/>
      <c r="K61" s="199"/>
      <c r="L61" s="199"/>
      <c r="M61" s="199"/>
      <c r="N61" s="199"/>
      <c r="O61" s="199"/>
      <c r="P61" s="199"/>
      <c r="Q61" s="199"/>
      <c r="R61" s="199"/>
      <c r="S61" s="148"/>
      <c r="T61" s="147"/>
      <c r="U61" s="148"/>
      <c r="V61" s="148"/>
      <c r="W61" s="148"/>
      <c r="X61" s="148"/>
      <c r="Y61" s="148"/>
      <c r="Z61" s="148"/>
      <c r="AA61" s="148"/>
      <c r="AC61" s="85"/>
      <c r="AD61" s="86"/>
      <c r="AE61" s="91"/>
      <c r="AF61" s="91"/>
      <c r="AG61" s="544"/>
      <c r="AH61" s="545"/>
      <c r="AI61" s="91"/>
      <c r="AJ61" s="92"/>
      <c r="AK61" s="94"/>
      <c r="AL61" s="95"/>
      <c r="AM61" s="544">
        <f t="shared" si="20"/>
      </c>
      <c r="AN61" s="545"/>
      <c r="AO61" s="96"/>
      <c r="AP61" s="93"/>
      <c r="AQ61" s="1"/>
      <c r="AR61" s="4">
        <f t="shared" si="18"/>
      </c>
      <c r="AS61" s="12"/>
      <c r="AT61" s="11"/>
    </row>
    <row r="62" spans="1:46" ht="12.75" customHeight="1">
      <c r="A62" s="5"/>
      <c r="B62" s="147"/>
      <c r="C62" s="391"/>
      <c r="D62" s="391"/>
      <c r="E62" s="391"/>
      <c r="F62" s="391"/>
      <c r="G62" s="393"/>
      <c r="H62" s="393"/>
      <c r="I62" s="393"/>
      <c r="J62" s="393"/>
      <c r="K62" s="393"/>
      <c r="L62" s="393"/>
      <c r="M62" s="393"/>
      <c r="N62" s="393"/>
      <c r="O62" s="393"/>
      <c r="P62" s="393"/>
      <c r="Q62" s="393"/>
      <c r="R62" s="393"/>
      <c r="S62" s="394"/>
      <c r="T62" s="147"/>
      <c r="U62" s="148"/>
      <c r="V62" s="147"/>
      <c r="W62" s="148"/>
      <c r="X62" s="148"/>
      <c r="Y62" s="148"/>
      <c r="Z62" s="148"/>
      <c r="AA62" s="148"/>
      <c r="AC62" s="87">
        <f>AC22</f>
      </c>
      <c r="AD62" s="574">
        <f>+AD23</f>
      </c>
      <c r="AE62" s="97"/>
      <c r="AF62" s="97"/>
      <c r="AG62" s="530"/>
      <c r="AH62" s="531"/>
      <c r="AI62" s="97"/>
      <c r="AJ62" s="98"/>
      <c r="AK62" s="100"/>
      <c r="AL62" s="101"/>
      <c r="AM62" s="530">
        <f t="shared" si="20"/>
        <v>0</v>
      </c>
      <c r="AN62" s="531"/>
      <c r="AO62" s="102"/>
      <c r="AP62" s="99"/>
      <c r="AQ62" s="3"/>
      <c r="AR62" s="20">
        <f t="shared" si="18"/>
      </c>
      <c r="AS62" s="16">
        <f>AS22</f>
      </c>
      <c r="AT62" s="21">
        <f>AT22</f>
      </c>
    </row>
    <row r="63" spans="1:46" ht="12.75" customHeight="1">
      <c r="A63" s="5"/>
      <c r="B63" s="199"/>
      <c r="C63" s="199"/>
      <c r="D63" s="199"/>
      <c r="E63" s="199"/>
      <c r="F63" s="199"/>
      <c r="G63" s="199"/>
      <c r="H63" s="199"/>
      <c r="I63" s="199"/>
      <c r="J63" s="199"/>
      <c r="K63" s="199"/>
      <c r="L63" s="199"/>
      <c r="M63" s="199"/>
      <c r="N63" s="199"/>
      <c r="O63" s="199"/>
      <c r="P63" s="199"/>
      <c r="Q63" s="199"/>
      <c r="R63" s="199"/>
      <c r="S63" s="148"/>
      <c r="T63" s="147"/>
      <c r="U63" s="148"/>
      <c r="V63" s="148"/>
      <c r="W63" s="148"/>
      <c r="X63" s="148"/>
      <c r="Y63" s="148"/>
      <c r="Z63" s="148"/>
      <c r="AA63" s="148"/>
      <c r="AC63" s="87">
        <f>AC23</f>
      </c>
      <c r="AD63" s="575"/>
      <c r="AE63" s="97"/>
      <c r="AF63" s="97">
        <f>AF23</f>
      </c>
      <c r="AG63" s="530"/>
      <c r="AH63" s="531"/>
      <c r="AI63" s="97"/>
      <c r="AJ63" s="98"/>
      <c r="AK63" s="100"/>
      <c r="AL63" s="101"/>
      <c r="AM63" s="530">
        <f t="shared" si="20"/>
        <v>0</v>
      </c>
      <c r="AN63" s="531"/>
      <c r="AO63" s="102"/>
      <c r="AP63" s="99"/>
      <c r="AQ63" s="3"/>
      <c r="AR63" s="185">
        <f>IF(AND(2&lt;$AG$1,$AG$1&lt;6)," 173,000円×","")</f>
      </c>
      <c r="AT63" s="207"/>
    </row>
    <row r="64" spans="1:46" ht="12.75" customHeight="1">
      <c r="A64" s="36"/>
      <c r="B64" s="199"/>
      <c r="C64" s="147"/>
      <c r="D64" s="147"/>
      <c r="E64" s="147"/>
      <c r="F64" s="147"/>
      <c r="G64" s="147"/>
      <c r="H64" s="147"/>
      <c r="I64" s="147"/>
      <c r="J64" s="147"/>
      <c r="K64" s="147"/>
      <c r="L64" s="147"/>
      <c r="M64" s="147"/>
      <c r="N64" s="147"/>
      <c r="O64" s="147"/>
      <c r="P64" s="147"/>
      <c r="Q64" s="147"/>
      <c r="R64" s="147"/>
      <c r="S64" s="148"/>
      <c r="T64" s="147"/>
      <c r="U64" s="148"/>
      <c r="V64" s="148"/>
      <c r="W64" s="148"/>
      <c r="X64" s="148"/>
      <c r="Y64" s="148"/>
      <c r="Z64" s="148"/>
      <c r="AA64" s="148"/>
      <c r="AC64" s="87"/>
      <c r="AD64" s="80"/>
      <c r="AE64" s="103"/>
      <c r="AF64" s="103">
        <f>AF24</f>
      </c>
      <c r="AG64" s="530"/>
      <c r="AH64" s="531"/>
      <c r="AI64" s="103"/>
      <c r="AJ64" s="532">
        <f>AJ24</f>
        <v>0</v>
      </c>
      <c r="AK64" s="533"/>
      <c r="AL64" s="108" t="e">
        <f>AL24</f>
        <v>#VALUE!</v>
      </c>
      <c r="AM64" s="530">
        <f t="shared" si="20"/>
        <v>0</v>
      </c>
      <c r="AN64" s="531"/>
      <c r="AO64" s="106" t="e">
        <f>AO24</f>
        <v>#VALUE!</v>
      </c>
      <c r="AP64" s="107">
        <f>AP24</f>
      </c>
      <c r="AQ64" s="2"/>
      <c r="AR64" s="185">
        <f>IF(AND(2&lt;$AG$1,$AG$1&lt;6),HLOOKUP($AG$4,$D$29:$R$36,3),"")</f>
      </c>
      <c r="AS64" s="163">
        <f>IF(AND(2&lt;$AG$1,$AG$1&lt;6),"／","")</f>
      </c>
      <c r="AT64" s="208">
        <f>IF(AND(2&lt;$AG$1,$AG$1&lt;6),HLOOKUP($AG$4,$D$29:$R$36,5),"")</f>
      </c>
    </row>
    <row r="65" spans="1:46" ht="12.75" customHeight="1">
      <c r="A65" s="36"/>
      <c r="B65" s="199"/>
      <c r="C65" s="391"/>
      <c r="D65" s="391"/>
      <c r="E65" s="391"/>
      <c r="F65" s="391"/>
      <c r="G65" s="391"/>
      <c r="H65" s="391"/>
      <c r="I65" s="391"/>
      <c r="J65" s="391"/>
      <c r="K65" s="391"/>
      <c r="L65" s="391"/>
      <c r="M65" s="391"/>
      <c r="N65" s="391"/>
      <c r="O65" s="391"/>
      <c r="P65" s="391"/>
      <c r="Q65" s="391"/>
      <c r="R65" s="391"/>
      <c r="S65" s="148"/>
      <c r="T65" s="147"/>
      <c r="U65" s="148"/>
      <c r="V65" s="148"/>
      <c r="W65" s="148"/>
      <c r="X65" s="148"/>
      <c r="Y65" s="148"/>
      <c r="Z65" s="148"/>
      <c r="AA65" s="148"/>
      <c r="AC65" s="85"/>
      <c r="AD65" s="86"/>
      <c r="AE65" s="91"/>
      <c r="AF65" s="91"/>
      <c r="AG65" s="544"/>
      <c r="AH65" s="545"/>
      <c r="AI65" s="91"/>
      <c r="AJ65" s="92"/>
      <c r="AK65" s="94"/>
      <c r="AL65" s="95"/>
      <c r="AM65" s="544">
        <f t="shared" si="20"/>
      </c>
      <c r="AN65" s="545"/>
      <c r="AO65" s="96"/>
      <c r="AP65" s="93"/>
      <c r="AQ65" s="1"/>
      <c r="AR65" s="4">
        <f t="shared" si="18"/>
      </c>
      <c r="AS65" s="12"/>
      <c r="AT65" s="11"/>
    </row>
    <row r="66" spans="1:46" ht="12.75" customHeight="1">
      <c r="A66" s="36"/>
      <c r="B66" s="199"/>
      <c r="C66" s="391"/>
      <c r="D66" s="391"/>
      <c r="E66" s="391"/>
      <c r="F66" s="391"/>
      <c r="G66" s="391"/>
      <c r="H66" s="391"/>
      <c r="I66" s="391"/>
      <c r="J66" s="391"/>
      <c r="K66" s="391"/>
      <c r="L66" s="391"/>
      <c r="M66" s="391"/>
      <c r="N66" s="391"/>
      <c r="O66" s="391"/>
      <c r="P66" s="391"/>
      <c r="Q66" s="391"/>
      <c r="R66" s="391"/>
      <c r="S66" s="148"/>
      <c r="T66" s="147"/>
      <c r="U66" s="148"/>
      <c r="V66" s="148"/>
      <c r="W66" s="148"/>
      <c r="X66" s="148"/>
      <c r="Y66" s="148"/>
      <c r="Z66" s="148"/>
      <c r="AC66" s="87">
        <f>AC26</f>
      </c>
      <c r="AD66" s="574">
        <f>+AD27</f>
      </c>
      <c r="AE66" s="97"/>
      <c r="AF66" s="97"/>
      <c r="AG66" s="530"/>
      <c r="AH66" s="531"/>
      <c r="AI66" s="97"/>
      <c r="AJ66" s="98"/>
      <c r="AK66" s="100"/>
      <c r="AL66" s="101"/>
      <c r="AM66" s="530">
        <f t="shared" si="20"/>
        <v>0</v>
      </c>
      <c r="AN66" s="531"/>
      <c r="AO66" s="102"/>
      <c r="AP66" s="99"/>
      <c r="AQ66" s="3"/>
      <c r="AR66" s="20">
        <f t="shared" si="18"/>
      </c>
      <c r="AS66" s="16">
        <f aca="true" t="shared" si="21" ref="AS66:AT68">AS26</f>
      </c>
      <c r="AT66" s="21">
        <f t="shared" si="21"/>
      </c>
    </row>
    <row r="67" spans="1:46" ht="12.75" customHeight="1">
      <c r="A67" s="36"/>
      <c r="B67" s="199"/>
      <c r="C67" s="199"/>
      <c r="D67" s="199"/>
      <c r="E67" s="199"/>
      <c r="F67" s="199"/>
      <c r="G67" s="392"/>
      <c r="H67" s="392"/>
      <c r="I67" s="392"/>
      <c r="J67" s="392"/>
      <c r="K67" s="392"/>
      <c r="L67" s="392"/>
      <c r="M67" s="392"/>
      <c r="N67" s="392"/>
      <c r="O67" s="392"/>
      <c r="P67" s="392"/>
      <c r="Q67" s="392"/>
      <c r="R67" s="392"/>
      <c r="S67" s="148"/>
      <c r="T67" s="147"/>
      <c r="U67" s="148"/>
      <c r="V67" s="200"/>
      <c r="W67" s="200"/>
      <c r="X67" s="200"/>
      <c r="Y67" s="200"/>
      <c r="Z67" s="200"/>
      <c r="AC67" s="87">
        <f>AC27</f>
      </c>
      <c r="AD67" s="575"/>
      <c r="AE67" s="97"/>
      <c r="AF67" s="97">
        <f>AF27</f>
      </c>
      <c r="AG67" s="530"/>
      <c r="AH67" s="531"/>
      <c r="AI67" s="97"/>
      <c r="AJ67" s="98"/>
      <c r="AK67" s="100"/>
      <c r="AL67" s="101"/>
      <c r="AM67" s="530">
        <f t="shared" si="20"/>
        <v>0</v>
      </c>
      <c r="AN67" s="531"/>
      <c r="AO67" s="102"/>
      <c r="AP67" s="99"/>
      <c r="AQ67" s="3"/>
      <c r="AR67" s="185">
        <f>IF(AND(3&lt;$AG$1,$AG$1&lt;6)," 173,000円×","")</f>
      </c>
      <c r="AS67" s="453"/>
      <c r="AT67" s="73"/>
    </row>
    <row r="68" spans="1:46" ht="12.75" customHeight="1">
      <c r="A68" s="36"/>
      <c r="B68" s="199"/>
      <c r="C68" s="391"/>
      <c r="D68" s="391"/>
      <c r="E68" s="391"/>
      <c r="F68" s="391"/>
      <c r="G68" s="391"/>
      <c r="H68" s="391"/>
      <c r="I68" s="391"/>
      <c r="J68" s="391"/>
      <c r="K68" s="391"/>
      <c r="L68" s="391"/>
      <c r="M68" s="391"/>
      <c r="N68" s="391"/>
      <c r="O68" s="391"/>
      <c r="P68" s="391"/>
      <c r="Q68" s="391"/>
      <c r="R68" s="391"/>
      <c r="S68" s="148"/>
      <c r="T68" s="147"/>
      <c r="U68" s="148"/>
      <c r="V68" s="200"/>
      <c r="W68" s="200"/>
      <c r="X68" s="200"/>
      <c r="Y68" s="200"/>
      <c r="Z68" s="200"/>
      <c r="AC68" s="87"/>
      <c r="AD68" s="80"/>
      <c r="AE68" s="103"/>
      <c r="AF68" s="103">
        <f>AF28</f>
      </c>
      <c r="AG68" s="530"/>
      <c r="AH68" s="531"/>
      <c r="AI68" s="103"/>
      <c r="AJ68" s="532">
        <f>AJ28</f>
        <v>0</v>
      </c>
      <c r="AK68" s="533"/>
      <c r="AL68" s="108" t="e">
        <f>AL28</f>
        <v>#VALUE!</v>
      </c>
      <c r="AM68" s="530">
        <f t="shared" si="20"/>
        <v>0</v>
      </c>
      <c r="AN68" s="531"/>
      <c r="AO68" s="106" t="e">
        <f>AO28</f>
        <v>#VALUE!</v>
      </c>
      <c r="AP68" s="107">
        <f>AP28</f>
      </c>
      <c r="AQ68" s="2"/>
      <c r="AR68" s="61">
        <f t="shared" si="18"/>
      </c>
      <c r="AS68" s="17">
        <f t="shared" si="21"/>
      </c>
      <c r="AT68" s="72">
        <f t="shared" si="21"/>
      </c>
    </row>
    <row r="69" spans="1:46" ht="12.75" customHeight="1">
      <c r="A69" s="36"/>
      <c r="B69" s="199"/>
      <c r="C69" s="391"/>
      <c r="D69" s="391"/>
      <c r="E69" s="391"/>
      <c r="F69" s="391"/>
      <c r="G69" s="392"/>
      <c r="H69" s="392"/>
      <c r="I69" s="392"/>
      <c r="J69" s="392"/>
      <c r="K69" s="392"/>
      <c r="L69" s="392"/>
      <c r="M69" s="392"/>
      <c r="N69" s="392"/>
      <c r="O69" s="392"/>
      <c r="P69" s="392"/>
      <c r="Q69" s="392"/>
      <c r="R69" s="392"/>
      <c r="S69" s="148"/>
      <c r="T69" s="147"/>
      <c r="U69" s="148"/>
      <c r="V69" s="200"/>
      <c r="W69" s="200"/>
      <c r="X69" s="200"/>
      <c r="Y69" s="200"/>
      <c r="Z69" s="200"/>
      <c r="AC69" s="85"/>
      <c r="AD69" s="86"/>
      <c r="AE69" s="91"/>
      <c r="AF69" s="91"/>
      <c r="AG69" s="544"/>
      <c r="AH69" s="545"/>
      <c r="AI69" s="91"/>
      <c r="AJ69" s="92"/>
      <c r="AK69" s="94"/>
      <c r="AL69" s="95"/>
      <c r="AM69" s="544">
        <f t="shared" si="20"/>
      </c>
      <c r="AN69" s="545"/>
      <c r="AO69" s="96"/>
      <c r="AP69" s="93"/>
      <c r="AQ69" s="1"/>
      <c r="AR69" s="4">
        <f t="shared" si="18"/>
      </c>
      <c r="AS69" s="12"/>
      <c r="AT69" s="11"/>
    </row>
    <row r="70" spans="1:46" ht="12.75" customHeight="1">
      <c r="A70" s="36"/>
      <c r="B70" s="199"/>
      <c r="C70" s="199"/>
      <c r="D70" s="199"/>
      <c r="E70" s="199"/>
      <c r="F70" s="199"/>
      <c r="G70" s="199"/>
      <c r="H70" s="199"/>
      <c r="I70" s="199"/>
      <c r="J70" s="199"/>
      <c r="K70" s="199"/>
      <c r="L70" s="199"/>
      <c r="M70" s="199"/>
      <c r="N70" s="199"/>
      <c r="O70" s="199"/>
      <c r="P70" s="199"/>
      <c r="Q70" s="199"/>
      <c r="R70" s="199"/>
      <c r="S70" s="148"/>
      <c r="T70" s="147"/>
      <c r="U70" s="148"/>
      <c r="V70" s="148"/>
      <c r="W70" s="148"/>
      <c r="X70" s="148"/>
      <c r="Y70" s="148"/>
      <c r="Z70" s="148"/>
      <c r="AC70" s="87">
        <f>AC30</f>
      </c>
      <c r="AD70" s="574">
        <f>+AD31</f>
      </c>
      <c r="AE70" s="97"/>
      <c r="AF70" s="97"/>
      <c r="AG70" s="530"/>
      <c r="AH70" s="531"/>
      <c r="AI70" s="97"/>
      <c r="AJ70" s="98"/>
      <c r="AK70" s="100"/>
      <c r="AL70" s="101"/>
      <c r="AM70" s="530">
        <f t="shared" si="20"/>
        <v>0</v>
      </c>
      <c r="AN70" s="531"/>
      <c r="AO70" s="102"/>
      <c r="AP70" s="99"/>
      <c r="AQ70" s="3"/>
      <c r="AR70" s="20">
        <f t="shared" si="18"/>
      </c>
      <c r="AS70" s="16">
        <f aca="true" t="shared" si="22" ref="AS70:AT72">AS30</f>
      </c>
      <c r="AT70" s="21">
        <f t="shared" si="22"/>
      </c>
    </row>
    <row r="71" spans="1:46" ht="12.75" customHeight="1">
      <c r="A71" s="5"/>
      <c r="B71" s="199"/>
      <c r="C71" s="391"/>
      <c r="D71" s="391"/>
      <c r="E71" s="391"/>
      <c r="F71" s="391"/>
      <c r="G71" s="393"/>
      <c r="H71" s="393"/>
      <c r="I71" s="393"/>
      <c r="J71" s="393"/>
      <c r="K71" s="393"/>
      <c r="L71" s="393"/>
      <c r="M71" s="393"/>
      <c r="N71" s="393"/>
      <c r="O71" s="393"/>
      <c r="P71" s="393"/>
      <c r="Q71" s="393"/>
      <c r="R71" s="393"/>
      <c r="S71" s="394"/>
      <c r="T71" s="147"/>
      <c r="U71" s="148"/>
      <c r="V71" s="147"/>
      <c r="W71" s="148"/>
      <c r="X71" s="148"/>
      <c r="Y71" s="148"/>
      <c r="Z71" s="148"/>
      <c r="AC71" s="87">
        <f>AC31</f>
      </c>
      <c r="AD71" s="575"/>
      <c r="AE71" s="97"/>
      <c r="AF71" s="97">
        <f>AF31</f>
      </c>
      <c r="AG71" s="530"/>
      <c r="AH71" s="531"/>
      <c r="AI71" s="97"/>
      <c r="AJ71" s="98"/>
      <c r="AK71" s="100"/>
      <c r="AL71" s="101"/>
      <c r="AM71" s="530">
        <f t="shared" si="20"/>
        <v>0</v>
      </c>
      <c r="AN71" s="531"/>
      <c r="AO71" s="102"/>
      <c r="AP71" s="99"/>
      <c r="AQ71" s="3"/>
      <c r="AR71" s="185">
        <f>IF(AND(4&lt;$AG$1,$AG$1&lt;6)," 173,000円×","")</f>
      </c>
      <c r="AS71" s="16"/>
      <c r="AT71" s="73"/>
    </row>
    <row r="72" spans="2:46" ht="12.75" customHeight="1">
      <c r="B72" s="199"/>
      <c r="C72" s="199"/>
      <c r="D72" s="199"/>
      <c r="E72" s="199"/>
      <c r="F72" s="199"/>
      <c r="G72" s="199"/>
      <c r="H72" s="199"/>
      <c r="I72" s="199"/>
      <c r="J72" s="199"/>
      <c r="K72" s="199"/>
      <c r="L72" s="199"/>
      <c r="M72" s="199"/>
      <c r="N72" s="199"/>
      <c r="O72" s="199"/>
      <c r="P72" s="199"/>
      <c r="Q72" s="199"/>
      <c r="R72" s="199"/>
      <c r="S72" s="148"/>
      <c r="T72" s="147"/>
      <c r="U72" s="148"/>
      <c r="V72" s="148"/>
      <c r="W72" s="148"/>
      <c r="X72" s="148"/>
      <c r="Y72" s="148"/>
      <c r="Z72" s="148"/>
      <c r="AC72" s="79"/>
      <c r="AD72" s="80"/>
      <c r="AE72" s="103"/>
      <c r="AF72" s="103">
        <f>AF32</f>
      </c>
      <c r="AG72" s="530"/>
      <c r="AH72" s="531"/>
      <c r="AI72" s="103"/>
      <c r="AJ72" s="532">
        <f>AJ32</f>
        <v>0</v>
      </c>
      <c r="AK72" s="533"/>
      <c r="AL72" s="108" t="e">
        <f>AL32</f>
        <v>#VALUE!</v>
      </c>
      <c r="AM72" s="530">
        <f t="shared" si="20"/>
        <v>0</v>
      </c>
      <c r="AN72" s="531"/>
      <c r="AO72" s="106" t="e">
        <f>AO32</f>
        <v>#VALUE!</v>
      </c>
      <c r="AP72" s="107">
        <f>AP32</f>
      </c>
      <c r="AQ72" s="2"/>
      <c r="AR72" s="61">
        <f t="shared" si="18"/>
      </c>
      <c r="AS72" s="17">
        <f t="shared" si="22"/>
      </c>
      <c r="AT72" s="72">
        <f t="shared" si="22"/>
      </c>
    </row>
    <row r="73" spans="2:46" ht="12.75" customHeight="1">
      <c r="B73" s="199"/>
      <c r="C73" s="147"/>
      <c r="D73" s="147"/>
      <c r="E73" s="147"/>
      <c r="F73" s="147"/>
      <c r="G73" s="147"/>
      <c r="H73" s="147"/>
      <c r="I73" s="147"/>
      <c r="J73" s="147"/>
      <c r="K73" s="147"/>
      <c r="L73" s="147"/>
      <c r="M73" s="147"/>
      <c r="N73" s="147"/>
      <c r="O73" s="147"/>
      <c r="P73" s="147"/>
      <c r="Q73" s="147"/>
      <c r="R73" s="147"/>
      <c r="S73" s="148"/>
      <c r="T73" s="147"/>
      <c r="U73" s="148"/>
      <c r="V73" s="148"/>
      <c r="W73" s="148"/>
      <c r="X73" s="148"/>
      <c r="Y73" s="148"/>
      <c r="Z73" s="148"/>
      <c r="AC73" s="87"/>
      <c r="AD73" s="88"/>
      <c r="AE73" s="97"/>
      <c r="AF73" s="91"/>
      <c r="AG73" s="544"/>
      <c r="AH73" s="545"/>
      <c r="AI73" s="97"/>
      <c r="AJ73" s="98"/>
      <c r="AK73" s="100"/>
      <c r="AL73" s="101"/>
      <c r="AM73" s="544">
        <f t="shared" si="20"/>
        <v>0</v>
      </c>
      <c r="AN73" s="545"/>
      <c r="AO73" s="102"/>
      <c r="AP73" s="99"/>
      <c r="AQ73" s="3"/>
      <c r="AR73" s="15"/>
      <c r="AS73" s="16"/>
      <c r="AT73" s="25"/>
    </row>
    <row r="74" spans="2:46" ht="12.75" customHeight="1">
      <c r="B74" s="199"/>
      <c r="C74" s="391"/>
      <c r="D74" s="391"/>
      <c r="E74" s="391"/>
      <c r="F74" s="391"/>
      <c r="G74" s="391"/>
      <c r="H74" s="391"/>
      <c r="I74" s="391"/>
      <c r="J74" s="391"/>
      <c r="K74" s="391"/>
      <c r="L74" s="391"/>
      <c r="M74" s="391"/>
      <c r="N74" s="391"/>
      <c r="O74" s="391"/>
      <c r="P74" s="391"/>
      <c r="Q74" s="391"/>
      <c r="R74" s="391"/>
      <c r="S74" s="148"/>
      <c r="T74" s="147"/>
      <c r="U74" s="148"/>
      <c r="V74" s="148"/>
      <c r="W74" s="148"/>
      <c r="X74" s="148"/>
      <c r="Y74" s="148"/>
      <c r="Z74" s="148"/>
      <c r="AA74" s="148"/>
      <c r="AC74" s="87"/>
      <c r="AD74" s="88"/>
      <c r="AE74" s="97"/>
      <c r="AF74" s="97"/>
      <c r="AG74" s="530"/>
      <c r="AH74" s="531"/>
      <c r="AI74" s="97"/>
      <c r="AJ74" s="98"/>
      <c r="AK74" s="100"/>
      <c r="AL74" s="101"/>
      <c r="AM74" s="530">
        <f t="shared" si="20"/>
        <v>0</v>
      </c>
      <c r="AN74" s="531"/>
      <c r="AO74" s="102"/>
      <c r="AP74" s="99"/>
      <c r="AQ74" s="3"/>
      <c r="AR74" s="15"/>
      <c r="AS74" s="16"/>
      <c r="AT74" s="25"/>
    </row>
    <row r="75" spans="2:46" ht="12.75" customHeight="1">
      <c r="B75" s="152"/>
      <c r="C75" s="391"/>
      <c r="D75" s="391"/>
      <c r="E75" s="391"/>
      <c r="F75" s="391"/>
      <c r="G75" s="391"/>
      <c r="H75" s="391"/>
      <c r="I75" s="391"/>
      <c r="J75" s="391"/>
      <c r="K75" s="391"/>
      <c r="L75" s="391"/>
      <c r="M75" s="391"/>
      <c r="N75" s="391"/>
      <c r="O75" s="391"/>
      <c r="P75" s="391"/>
      <c r="Q75" s="391"/>
      <c r="R75" s="391"/>
      <c r="S75" s="148"/>
      <c r="T75" s="147"/>
      <c r="U75" s="148"/>
      <c r="V75" s="148"/>
      <c r="W75" s="148"/>
      <c r="X75" s="148"/>
      <c r="Y75" s="148"/>
      <c r="Z75" s="148"/>
      <c r="AA75" s="148"/>
      <c r="AC75" s="87"/>
      <c r="AD75" s="88"/>
      <c r="AE75" s="97"/>
      <c r="AF75" s="97">
        <f>AF35</f>
      </c>
      <c r="AG75" s="530"/>
      <c r="AH75" s="531"/>
      <c r="AI75" s="97"/>
      <c r="AJ75" s="98"/>
      <c r="AK75" s="100"/>
      <c r="AL75" s="101"/>
      <c r="AM75" s="530">
        <f t="shared" si="20"/>
        <v>0</v>
      </c>
      <c r="AN75" s="531"/>
      <c r="AO75" s="102"/>
      <c r="AP75" s="99"/>
      <c r="AQ75" s="3"/>
      <c r="AR75" s="15"/>
      <c r="AS75" s="16"/>
      <c r="AT75" s="25"/>
    </row>
    <row r="76" spans="2:46" ht="12.75" customHeight="1">
      <c r="B76" s="152"/>
      <c r="C76" s="199"/>
      <c r="D76" s="199"/>
      <c r="E76" s="199"/>
      <c r="F76" s="199"/>
      <c r="G76" s="392"/>
      <c r="H76" s="392"/>
      <c r="I76" s="392"/>
      <c r="J76" s="392"/>
      <c r="K76" s="392"/>
      <c r="L76" s="392"/>
      <c r="M76" s="392"/>
      <c r="N76" s="392"/>
      <c r="O76" s="392"/>
      <c r="P76" s="392"/>
      <c r="Q76" s="392"/>
      <c r="R76" s="392"/>
      <c r="S76" s="148"/>
      <c r="T76" s="147"/>
      <c r="U76" s="148"/>
      <c r="V76" s="200"/>
      <c r="W76" s="200"/>
      <c r="X76" s="200"/>
      <c r="Y76" s="200"/>
      <c r="Z76" s="200"/>
      <c r="AA76" s="148"/>
      <c r="AC76" s="87"/>
      <c r="AD76" s="88"/>
      <c r="AE76" s="97"/>
      <c r="AF76" s="103"/>
      <c r="AG76" s="530"/>
      <c r="AH76" s="531"/>
      <c r="AI76" s="97"/>
      <c r="AJ76" s="98"/>
      <c r="AK76" s="100"/>
      <c r="AL76" s="101"/>
      <c r="AM76" s="530">
        <f t="shared" si="20"/>
        <v>0</v>
      </c>
      <c r="AN76" s="531"/>
      <c r="AO76" s="102"/>
      <c r="AP76" s="99"/>
      <c r="AQ76" s="3"/>
      <c r="AR76" s="15"/>
      <c r="AS76" s="16"/>
      <c r="AT76" s="25"/>
    </row>
    <row r="77" spans="2:46" ht="12.75" customHeight="1">
      <c r="B77" s="152"/>
      <c r="C77" s="391"/>
      <c r="D77" s="391"/>
      <c r="E77" s="391"/>
      <c r="F77" s="391"/>
      <c r="G77" s="391"/>
      <c r="H77" s="391"/>
      <c r="I77" s="391"/>
      <c r="J77" s="391"/>
      <c r="K77" s="391"/>
      <c r="L77" s="391"/>
      <c r="M77" s="391"/>
      <c r="N77" s="391"/>
      <c r="O77" s="391"/>
      <c r="P77" s="391"/>
      <c r="Q77" s="391"/>
      <c r="R77" s="391"/>
      <c r="S77" s="148"/>
      <c r="T77" s="147"/>
      <c r="U77" s="148"/>
      <c r="V77" s="200"/>
      <c r="W77" s="200"/>
      <c r="X77" s="200"/>
      <c r="Y77" s="200"/>
      <c r="Z77" s="200"/>
      <c r="AA77" s="148"/>
      <c r="AC77" s="85"/>
      <c r="AD77" s="86"/>
      <c r="AE77" s="91"/>
      <c r="AF77" s="91"/>
      <c r="AG77" s="544"/>
      <c r="AH77" s="545"/>
      <c r="AI77" s="91"/>
      <c r="AJ77" s="92"/>
      <c r="AK77" s="94"/>
      <c r="AL77" s="95"/>
      <c r="AM77" s="544">
        <f t="shared" si="20"/>
        <v>0</v>
      </c>
      <c r="AN77" s="545"/>
      <c r="AO77" s="96"/>
      <c r="AP77" s="93"/>
      <c r="AQ77" s="1"/>
      <c r="AR77" s="4"/>
      <c r="AS77" s="12"/>
      <c r="AT77" s="11"/>
    </row>
    <row r="78" spans="2:46" ht="12.75" customHeight="1">
      <c r="B78" s="152"/>
      <c r="C78" s="391"/>
      <c r="D78" s="391"/>
      <c r="E78" s="391"/>
      <c r="F78" s="391"/>
      <c r="G78" s="392"/>
      <c r="H78" s="392"/>
      <c r="I78" s="392"/>
      <c r="J78" s="392"/>
      <c r="K78" s="392"/>
      <c r="L78" s="392"/>
      <c r="M78" s="392"/>
      <c r="N78" s="392"/>
      <c r="O78" s="392"/>
      <c r="P78" s="392"/>
      <c r="Q78" s="392"/>
      <c r="R78" s="392"/>
      <c r="S78" s="148"/>
      <c r="T78" s="147"/>
      <c r="U78" s="148"/>
      <c r="V78" s="200"/>
      <c r="W78" s="200"/>
      <c r="X78" s="200"/>
      <c r="Y78" s="200"/>
      <c r="Z78" s="200"/>
      <c r="AA78" s="148"/>
      <c r="AC78" s="87"/>
      <c r="AD78" s="566"/>
      <c r="AE78" s="97"/>
      <c r="AF78" s="97"/>
      <c r="AG78" s="530"/>
      <c r="AH78" s="531"/>
      <c r="AI78" s="97"/>
      <c r="AJ78" s="98"/>
      <c r="AK78" s="100"/>
      <c r="AL78" s="101"/>
      <c r="AM78" s="530">
        <f t="shared" si="20"/>
        <v>0</v>
      </c>
      <c r="AN78" s="531"/>
      <c r="AO78" s="102"/>
      <c r="AP78" s="99"/>
      <c r="AQ78" s="3"/>
      <c r="AR78" s="20"/>
      <c r="AS78" s="16"/>
      <c r="AT78" s="21"/>
    </row>
    <row r="79" spans="2:46" ht="12.75" customHeight="1">
      <c r="B79" s="152"/>
      <c r="C79" s="199"/>
      <c r="D79" s="199"/>
      <c r="E79" s="199"/>
      <c r="F79" s="199"/>
      <c r="G79" s="199"/>
      <c r="H79" s="199"/>
      <c r="I79" s="199"/>
      <c r="J79" s="199"/>
      <c r="K79" s="199"/>
      <c r="L79" s="199"/>
      <c r="M79" s="199"/>
      <c r="N79" s="199"/>
      <c r="O79" s="199"/>
      <c r="P79" s="199"/>
      <c r="Q79" s="199"/>
      <c r="R79" s="199"/>
      <c r="S79" s="148"/>
      <c r="T79" s="147"/>
      <c r="U79" s="148"/>
      <c r="V79" s="148"/>
      <c r="W79" s="148"/>
      <c r="X79" s="148"/>
      <c r="Y79" s="148"/>
      <c r="Z79" s="148"/>
      <c r="AA79" s="148"/>
      <c r="AC79" s="87"/>
      <c r="AD79" s="567"/>
      <c r="AE79" s="97"/>
      <c r="AF79" s="97"/>
      <c r="AG79" s="530"/>
      <c r="AH79" s="531"/>
      <c r="AI79" s="97"/>
      <c r="AJ79" s="98"/>
      <c r="AK79" s="100"/>
      <c r="AL79" s="101"/>
      <c r="AM79" s="530">
        <f t="shared" si="20"/>
        <v>0</v>
      </c>
      <c r="AN79" s="531"/>
      <c r="AO79" s="102"/>
      <c r="AP79" s="99"/>
      <c r="AQ79" s="3"/>
      <c r="AR79" s="19"/>
      <c r="AS79" s="16"/>
      <c r="AT79" s="14"/>
    </row>
    <row r="80" spans="2:46" ht="12.75" customHeight="1">
      <c r="B80" s="152"/>
      <c r="C80" s="391"/>
      <c r="D80" s="391"/>
      <c r="E80" s="391"/>
      <c r="F80" s="391"/>
      <c r="G80" s="393"/>
      <c r="H80" s="393"/>
      <c r="I80" s="393"/>
      <c r="J80" s="393"/>
      <c r="K80" s="393"/>
      <c r="L80" s="393"/>
      <c r="M80" s="393"/>
      <c r="N80" s="393"/>
      <c r="O80" s="393"/>
      <c r="P80" s="393"/>
      <c r="Q80" s="393"/>
      <c r="R80" s="393"/>
      <c r="S80" s="394"/>
      <c r="T80" s="147"/>
      <c r="U80" s="148"/>
      <c r="V80" s="147"/>
      <c r="W80" s="148"/>
      <c r="X80" s="148"/>
      <c r="Y80" s="148"/>
      <c r="Z80" s="148"/>
      <c r="AA80" s="148"/>
      <c r="AC80" s="79"/>
      <c r="AD80" s="80"/>
      <c r="AE80" s="103"/>
      <c r="AF80" s="103"/>
      <c r="AG80" s="530"/>
      <c r="AH80" s="531"/>
      <c r="AI80" s="103"/>
      <c r="AJ80" s="104"/>
      <c r="AK80" s="109"/>
      <c r="AL80" s="108"/>
      <c r="AM80" s="530">
        <f t="shared" si="20"/>
        <v>0</v>
      </c>
      <c r="AN80" s="531"/>
      <c r="AO80" s="106"/>
      <c r="AP80" s="107"/>
      <c r="AQ80" s="2"/>
      <c r="AR80" s="13"/>
      <c r="AS80" s="17"/>
      <c r="AT80" s="18"/>
    </row>
    <row r="81" spans="2:46" ht="12.75" customHeight="1">
      <c r="B81" s="152"/>
      <c r="C81" s="199"/>
      <c r="D81" s="199"/>
      <c r="E81" s="199"/>
      <c r="F81" s="199"/>
      <c r="G81" s="199"/>
      <c r="H81" s="199"/>
      <c r="I81" s="199"/>
      <c r="J81" s="199"/>
      <c r="K81" s="199"/>
      <c r="L81" s="199"/>
      <c r="M81" s="199"/>
      <c r="N81" s="199"/>
      <c r="O81" s="199"/>
      <c r="P81" s="199"/>
      <c r="Q81" s="199"/>
      <c r="R81" s="199"/>
      <c r="S81" s="148"/>
      <c r="T81" s="147"/>
      <c r="U81" s="148"/>
      <c r="V81" s="148"/>
      <c r="W81" s="148"/>
      <c r="X81" s="148"/>
      <c r="Y81" s="148"/>
      <c r="Z81" s="148"/>
      <c r="AA81" s="148"/>
      <c r="AC81" s="85"/>
      <c r="AD81" s="86"/>
      <c r="AE81" s="91"/>
      <c r="AF81" s="91"/>
      <c r="AG81" s="544"/>
      <c r="AH81" s="545"/>
      <c r="AI81" s="91"/>
      <c r="AJ81" s="92"/>
      <c r="AK81" s="94"/>
      <c r="AL81" s="95"/>
      <c r="AM81" s="544">
        <f t="shared" si="20"/>
        <v>1044</v>
      </c>
      <c r="AN81" s="545"/>
      <c r="AO81" s="96"/>
      <c r="AP81" s="93"/>
      <c r="AQ81" s="1"/>
      <c r="AR81" s="4"/>
      <c r="AS81" s="12"/>
      <c r="AT81" s="11"/>
    </row>
    <row r="82" spans="2:46" ht="12.75" customHeight="1">
      <c r="B82" s="152"/>
      <c r="C82" s="147"/>
      <c r="D82" s="147"/>
      <c r="E82" s="147"/>
      <c r="F82" s="147"/>
      <c r="G82" s="147"/>
      <c r="H82" s="147"/>
      <c r="I82" s="147"/>
      <c r="J82" s="147"/>
      <c r="K82" s="147"/>
      <c r="L82" s="147"/>
      <c r="M82" s="147"/>
      <c r="N82" s="147"/>
      <c r="O82" s="147"/>
      <c r="P82" s="147"/>
      <c r="Q82" s="147"/>
      <c r="R82" s="147"/>
      <c r="S82" s="148"/>
      <c r="T82" s="147"/>
      <c r="U82" s="148"/>
      <c r="V82" s="148"/>
      <c r="W82" s="148"/>
      <c r="X82" s="148"/>
      <c r="Y82" s="148"/>
      <c r="Z82" s="148"/>
      <c r="AA82" s="148"/>
      <c r="AC82" s="87"/>
      <c r="AD82" s="566" t="s">
        <v>39</v>
      </c>
      <c r="AE82" s="97"/>
      <c r="AF82" s="97"/>
      <c r="AG82" s="530"/>
      <c r="AH82" s="531"/>
      <c r="AI82" s="97"/>
      <c r="AJ82" s="98"/>
      <c r="AK82" s="100"/>
      <c r="AL82" s="101"/>
      <c r="AM82" s="530">
        <f t="shared" si="20"/>
        <v>1000</v>
      </c>
      <c r="AN82" s="531"/>
      <c r="AO82" s="102"/>
      <c r="AP82" s="99"/>
      <c r="AQ82" s="3"/>
      <c r="AR82" s="20"/>
      <c r="AS82" s="16"/>
      <c r="AT82" s="21"/>
    </row>
    <row r="83" spans="2:49" ht="12.75" customHeight="1">
      <c r="B83" s="152"/>
      <c r="C83" s="152"/>
      <c r="D83" s="152"/>
      <c r="E83" s="152"/>
      <c r="F83" s="152"/>
      <c r="G83" s="152"/>
      <c r="H83" s="152"/>
      <c r="I83" s="152"/>
      <c r="J83" s="152"/>
      <c r="K83" s="152"/>
      <c r="L83" s="152"/>
      <c r="M83" s="152"/>
      <c r="N83" s="152"/>
      <c r="O83" s="152"/>
      <c r="P83" s="152"/>
      <c r="Q83" s="152"/>
      <c r="R83" s="152"/>
      <c r="AC83" s="87"/>
      <c r="AD83" s="567"/>
      <c r="AE83" s="97"/>
      <c r="AF83" s="97">
        <f>AF43</f>
        <v>2000</v>
      </c>
      <c r="AG83" s="530"/>
      <c r="AH83" s="531"/>
      <c r="AI83" s="97"/>
      <c r="AJ83" s="98"/>
      <c r="AK83" s="100"/>
      <c r="AL83" s="101"/>
      <c r="AM83" s="530">
        <f t="shared" si="20"/>
        <v>16000</v>
      </c>
      <c r="AN83" s="531"/>
      <c r="AO83" s="102"/>
      <c r="AP83" s="99"/>
      <c r="AQ83" s="3"/>
      <c r="AR83" s="19"/>
      <c r="AS83" s="16"/>
      <c r="AT83" s="14"/>
      <c r="AV83" s="37">
        <f>AS63</f>
        <v>0</v>
      </c>
      <c r="AW83" s="70">
        <f>AT63</f>
        <v>0</v>
      </c>
    </row>
    <row r="84" spans="2:46" ht="12.75" customHeight="1" thickBot="1">
      <c r="B84" s="152"/>
      <c r="C84" s="152"/>
      <c r="D84" s="152"/>
      <c r="E84" s="152"/>
      <c r="F84" s="152"/>
      <c r="G84" s="152"/>
      <c r="H84" s="152"/>
      <c r="I84" s="152"/>
      <c r="J84" s="152"/>
      <c r="K84" s="152"/>
      <c r="L84" s="152"/>
      <c r="M84" s="152"/>
      <c r="N84" s="152"/>
      <c r="O84" s="152"/>
      <c r="P84" s="152"/>
      <c r="Q84" s="152"/>
      <c r="R84" s="152"/>
      <c r="AC84" s="89"/>
      <c r="AD84" s="90"/>
      <c r="AE84" s="110"/>
      <c r="AF84" s="110">
        <f>AF44</f>
        <v>346000</v>
      </c>
      <c r="AG84" s="534"/>
      <c r="AH84" s="543"/>
      <c r="AI84" s="110"/>
      <c r="AJ84" s="534">
        <f>AJ44</f>
        <v>348000</v>
      </c>
      <c r="AK84" s="535"/>
      <c r="AL84" s="112">
        <f>AL44</f>
        <v>21600</v>
      </c>
      <c r="AM84" s="534">
        <f t="shared" si="20"/>
        <v>0</v>
      </c>
      <c r="AN84" s="543"/>
      <c r="AO84" s="113">
        <f>AO44</f>
        <v>39644</v>
      </c>
      <c r="AP84" s="111">
        <f>AP44</f>
        <v>308356</v>
      </c>
      <c r="AQ84" s="6"/>
      <c r="AR84" s="26"/>
      <c r="AS84" s="27"/>
      <c r="AT84" s="28"/>
    </row>
    <row r="85" spans="2:46" s="36" customFormat="1" ht="12">
      <c r="B85" s="153"/>
      <c r="C85" s="153"/>
      <c r="D85" s="153"/>
      <c r="E85" s="153"/>
      <c r="F85" s="153"/>
      <c r="G85" s="153"/>
      <c r="H85" s="153"/>
      <c r="I85" s="153"/>
      <c r="J85" s="153"/>
      <c r="K85" s="153"/>
      <c r="L85" s="153"/>
      <c r="M85" s="153"/>
      <c r="N85" s="153"/>
      <c r="O85" s="153"/>
      <c r="P85" s="153"/>
      <c r="Q85" s="153"/>
      <c r="R85" s="153"/>
      <c r="S85" s="48"/>
      <c r="U85" s="48"/>
      <c r="V85" s="48"/>
      <c r="W85" s="48"/>
      <c r="X85" s="48"/>
      <c r="Y85" s="48"/>
      <c r="Z85" s="48"/>
      <c r="AA85" s="48"/>
      <c r="AB85" s="48"/>
      <c r="AC85" s="48"/>
      <c r="AD85" s="48"/>
      <c r="AF85" s="35"/>
      <c r="AG85" s="35"/>
      <c r="AJ85" s="35"/>
      <c r="AK85" s="35"/>
      <c r="AL85" s="49"/>
      <c r="AO85" s="49"/>
      <c r="AP85" s="35"/>
      <c r="AR85" s="40"/>
      <c r="AS85" s="16"/>
      <c r="AT85" s="50"/>
    </row>
    <row r="86" spans="2:46" ht="12">
      <c r="B86" s="152"/>
      <c r="C86" s="152"/>
      <c r="D86" s="152"/>
      <c r="E86" s="152"/>
      <c r="F86" s="152"/>
      <c r="G86" s="152"/>
      <c r="H86" s="152"/>
      <c r="I86" s="152"/>
      <c r="J86" s="152"/>
      <c r="K86" s="152"/>
      <c r="L86" s="152"/>
      <c r="M86" s="152"/>
      <c r="N86" s="152"/>
      <c r="O86" s="152"/>
      <c r="P86" s="152"/>
      <c r="Q86" s="152"/>
      <c r="R86" s="152"/>
      <c r="AC86" s="48"/>
      <c r="AD86" s="48"/>
      <c r="AE86" s="36"/>
      <c r="AF86" s="35"/>
      <c r="AG86" s="35"/>
      <c r="AH86" s="36"/>
      <c r="AI86" s="36"/>
      <c r="AJ86" s="35"/>
      <c r="AK86" s="35"/>
      <c r="AL86" s="49"/>
      <c r="AM86" s="36"/>
      <c r="AN86" s="36"/>
      <c r="AO86" s="49"/>
      <c r="AP86" s="35"/>
      <c r="AQ86" s="36"/>
      <c r="AR86" s="40"/>
      <c r="AS86" s="16"/>
      <c r="AT86" s="50"/>
    </row>
    <row r="87" spans="2:46" ht="12">
      <c r="B87" s="152"/>
      <c r="C87" s="152"/>
      <c r="D87" s="152"/>
      <c r="E87" s="152"/>
      <c r="F87" s="152"/>
      <c r="G87" s="152"/>
      <c r="H87" s="152"/>
      <c r="I87" s="152"/>
      <c r="J87" s="152"/>
      <c r="K87" s="152"/>
      <c r="L87" s="152"/>
      <c r="M87" s="152"/>
      <c r="N87" s="152"/>
      <c r="O87" s="152"/>
      <c r="P87" s="152"/>
      <c r="Q87" s="152"/>
      <c r="R87" s="152"/>
      <c r="AC87" s="48"/>
      <c r="AD87" s="48"/>
      <c r="AE87" s="36"/>
      <c r="AF87" s="35"/>
      <c r="AG87" s="35"/>
      <c r="AH87" s="36"/>
      <c r="AI87" s="36"/>
      <c r="AJ87" s="35"/>
      <c r="AK87" s="35"/>
      <c r="AL87" s="49"/>
      <c r="AM87" s="36"/>
      <c r="AN87" s="36"/>
      <c r="AO87" s="49"/>
      <c r="AP87" s="35"/>
      <c r="AQ87" s="36"/>
      <c r="AR87" s="40"/>
      <c r="AS87" s="16"/>
      <c r="AT87" s="50"/>
    </row>
    <row r="88" spans="2:46" ht="12">
      <c r="B88" s="152"/>
      <c r="C88" s="152"/>
      <c r="D88" s="152"/>
      <c r="E88" s="152"/>
      <c r="F88" s="152"/>
      <c r="G88" s="152"/>
      <c r="H88" s="152"/>
      <c r="I88" s="152"/>
      <c r="J88" s="152"/>
      <c r="K88" s="152"/>
      <c r="L88" s="152"/>
      <c r="M88" s="152"/>
      <c r="N88" s="152"/>
      <c r="O88" s="152"/>
      <c r="P88" s="152"/>
      <c r="Q88" s="152"/>
      <c r="R88" s="152"/>
      <c r="AC88" s="10"/>
      <c r="AD88" s="10"/>
      <c r="AE88" s="44"/>
      <c r="AF88" s="45"/>
      <c r="AG88" s="45"/>
      <c r="AH88" s="44"/>
      <c r="AI88" s="44"/>
      <c r="AJ88" s="45"/>
      <c r="AK88" s="45"/>
      <c r="AL88" s="46"/>
      <c r="AM88" s="44"/>
      <c r="AN88" s="44"/>
      <c r="AO88" s="46"/>
      <c r="AP88" s="45"/>
      <c r="AQ88" s="44"/>
      <c r="AR88" s="39"/>
      <c r="AS88" s="17"/>
      <c r="AT88" s="47"/>
    </row>
    <row r="89" spans="2:46" ht="12">
      <c r="B89" s="152"/>
      <c r="C89" s="152"/>
      <c r="D89" s="152"/>
      <c r="E89" s="152"/>
      <c r="F89" s="152"/>
      <c r="G89" s="152"/>
      <c r="H89" s="152"/>
      <c r="I89" s="152"/>
      <c r="J89" s="152"/>
      <c r="K89" s="152"/>
      <c r="L89" s="152"/>
      <c r="M89" s="152"/>
      <c r="N89" s="152"/>
      <c r="O89" s="152"/>
      <c r="P89" s="152"/>
      <c r="Q89" s="152"/>
      <c r="R89" s="152"/>
      <c r="AC89" s="63" t="s">
        <v>9</v>
      </c>
      <c r="AD89" s="63" t="s">
        <v>33</v>
      </c>
      <c r="AE89" s="64" t="s">
        <v>37</v>
      </c>
      <c r="AF89" s="64" t="s">
        <v>34</v>
      </c>
      <c r="AG89" s="538"/>
      <c r="AH89" s="539"/>
      <c r="AI89" s="64"/>
      <c r="AJ89" s="65" t="s">
        <v>35</v>
      </c>
      <c r="AK89" s="67"/>
      <c r="AL89" s="68" t="s">
        <v>11</v>
      </c>
      <c r="AM89" s="612" t="str">
        <f>IF(AM92&gt;0,"社会保険料","")</f>
        <v>社会保険料</v>
      </c>
      <c r="AN89" s="613"/>
      <c r="AO89" s="69" t="s">
        <v>35</v>
      </c>
      <c r="AP89" s="66" t="s">
        <v>36</v>
      </c>
      <c r="AQ89" s="43" t="s">
        <v>38</v>
      </c>
      <c r="AR89" s="12" t="str">
        <f>$AR$53</f>
        <v>病代</v>
      </c>
      <c r="AS89" s="12"/>
      <c r="AT89" s="186">
        <f>+$AG$4</f>
        <v>5</v>
      </c>
    </row>
    <row r="90" spans="2:46" ht="14.25">
      <c r="B90" s="152"/>
      <c r="C90" s="152"/>
      <c r="D90" s="152"/>
      <c r="E90" s="152"/>
      <c r="F90" s="152"/>
      <c r="G90" s="152"/>
      <c r="H90" s="152"/>
      <c r="I90" s="152"/>
      <c r="J90" s="152"/>
      <c r="K90" s="152"/>
      <c r="L90" s="152"/>
      <c r="M90" s="152"/>
      <c r="N90" s="152"/>
      <c r="O90" s="152"/>
      <c r="P90" s="152"/>
      <c r="Q90" s="152"/>
      <c r="R90" s="152"/>
      <c r="AC90" s="443"/>
      <c r="AD90" s="443"/>
      <c r="AE90" s="444"/>
      <c r="AF90" s="444"/>
      <c r="AG90" s="445"/>
      <c r="AH90" s="446"/>
      <c r="AI90" s="444"/>
      <c r="AJ90" s="445"/>
      <c r="AK90" s="447"/>
      <c r="AL90" s="448"/>
      <c r="AM90" s="530">
        <f>+AM53</f>
        <v>525</v>
      </c>
      <c r="AN90" s="531"/>
      <c r="AO90" s="449"/>
      <c r="AP90" s="446"/>
      <c r="AQ90" s="450"/>
      <c r="AR90" s="36"/>
      <c r="AS90" s="36"/>
      <c r="AT90" s="451"/>
    </row>
    <row r="91" spans="2:46" ht="14.25">
      <c r="B91" s="152"/>
      <c r="C91" s="152"/>
      <c r="D91" s="152"/>
      <c r="E91" s="152"/>
      <c r="F91" s="152"/>
      <c r="G91" s="152"/>
      <c r="H91" s="152"/>
      <c r="I91" s="152"/>
      <c r="J91" s="152"/>
      <c r="K91" s="152"/>
      <c r="L91" s="152"/>
      <c r="M91" s="152"/>
      <c r="N91" s="152"/>
      <c r="O91" s="152"/>
      <c r="P91" s="152"/>
      <c r="Q91" s="152"/>
      <c r="R91" s="152"/>
      <c r="AC91" s="88" t="str">
        <f>AC54</f>
        <v>非常勤</v>
      </c>
      <c r="AD91" s="574" t="str">
        <f>AD54</f>
        <v>京築　太郎</v>
      </c>
      <c r="AE91" s="97"/>
      <c r="AF91" s="97"/>
      <c r="AG91" s="530"/>
      <c r="AH91" s="531"/>
      <c r="AI91" s="97"/>
      <c r="AJ91" s="98"/>
      <c r="AK91" s="100"/>
      <c r="AL91" s="101"/>
      <c r="AM91" s="530">
        <f>+AM54</f>
        <v>1000</v>
      </c>
      <c r="AN91" s="531"/>
      <c r="AO91" s="102"/>
      <c r="AP91" s="99"/>
      <c r="AQ91" s="363" t="s">
        <v>215</v>
      </c>
      <c r="AR91" s="37">
        <f>AR54</f>
        <v>40274</v>
      </c>
      <c r="AS91" s="37" t="str">
        <f>AS54</f>
        <v>～</v>
      </c>
      <c r="AT91" s="51">
        <f>AT54</f>
        <v>40379</v>
      </c>
    </row>
    <row r="92" spans="2:46" ht="14.25">
      <c r="B92" s="152"/>
      <c r="C92" s="152"/>
      <c r="D92" s="152"/>
      <c r="E92" s="152"/>
      <c r="F92" s="152"/>
      <c r="G92" s="152"/>
      <c r="H92" s="152"/>
      <c r="I92" s="152"/>
      <c r="J92" s="152"/>
      <c r="K92" s="152"/>
      <c r="L92" s="152"/>
      <c r="M92" s="152"/>
      <c r="N92" s="152"/>
      <c r="O92" s="152"/>
      <c r="P92" s="152"/>
      <c r="Q92" s="152"/>
      <c r="R92" s="152"/>
      <c r="AC92" s="88" t="str">
        <f>AC55</f>
        <v>講　師</v>
      </c>
      <c r="AD92" s="575"/>
      <c r="AE92" s="97"/>
      <c r="AF92" s="97">
        <f>AF55</f>
        <v>2000</v>
      </c>
      <c r="AG92" s="530"/>
      <c r="AH92" s="531"/>
      <c r="AI92" s="97"/>
      <c r="AJ92" s="98"/>
      <c r="AK92" s="100"/>
      <c r="AL92" s="101"/>
      <c r="AM92" s="530">
        <f>+AM55</f>
        <v>16000</v>
      </c>
      <c r="AN92" s="531"/>
      <c r="AO92" s="102"/>
      <c r="AP92" s="99"/>
      <c r="AQ92" s="42" t="s">
        <v>42</v>
      </c>
      <c r="AR92" s="232" t="str">
        <f>IF(AND(0&lt;$AG$1,$AG$1&lt;6)," 173,000円×","")</f>
        <v> 173,000円×</v>
      </c>
      <c r="AS92" s="36"/>
      <c r="AT92" s="201"/>
    </row>
    <row r="93" spans="29:46" ht="14.25">
      <c r="AC93" s="88"/>
      <c r="AD93" s="88"/>
      <c r="AE93" s="97"/>
      <c r="AF93" s="97">
        <f>AF56</f>
        <v>173000</v>
      </c>
      <c r="AG93" s="530"/>
      <c r="AH93" s="531"/>
      <c r="AI93" s="97"/>
      <c r="AJ93" s="532">
        <f>AJ56</f>
        <v>175000</v>
      </c>
      <c r="AK93" s="533"/>
      <c r="AL93" s="101">
        <f>AL56</f>
        <v>9600</v>
      </c>
      <c r="AM93" s="530">
        <f>+AM56</f>
        <v>0</v>
      </c>
      <c r="AN93" s="531"/>
      <c r="AO93" s="102">
        <f>AO56</f>
        <v>27125</v>
      </c>
      <c r="AP93" s="99">
        <f>AP56</f>
        <v>147875</v>
      </c>
      <c r="AQ93" s="42"/>
      <c r="AR93" s="233">
        <f>IF(AND(0&lt;$AG$1,$AG$1&lt;6),HLOOKUP($AG$4,$D$11:$R$18,3),"")</f>
        <v>24</v>
      </c>
      <c r="AS93" s="164" t="str">
        <f>IF(AND(0&lt;$AG$1,$AG$1&lt;6),"／","")</f>
        <v>／</v>
      </c>
      <c r="AT93" s="234">
        <f>IF(AND(0&lt;$AG$1,$AG$1&lt;6),HLOOKUP($AG$4,$D$11:$R$18,5),"")</f>
        <v>24</v>
      </c>
    </row>
    <row r="94" spans="29:46" ht="12">
      <c r="AC94" s="52"/>
      <c r="AD94" s="52"/>
      <c r="AE94" s="59"/>
      <c r="AF94" s="59"/>
      <c r="AG94" s="59"/>
      <c r="AH94" s="59"/>
      <c r="AI94" s="59"/>
      <c r="AJ94" s="59"/>
      <c r="AK94" s="59"/>
      <c r="AL94" s="59"/>
      <c r="AM94" s="59"/>
      <c r="AN94" s="59"/>
      <c r="AO94" s="59"/>
      <c r="AP94" s="59"/>
      <c r="AQ94" s="53"/>
      <c r="AR94" s="54"/>
      <c r="AS94" s="55"/>
      <c r="AT94" s="56"/>
    </row>
    <row r="95" spans="29:46" ht="12">
      <c r="AC95" s="63" t="s">
        <v>9</v>
      </c>
      <c r="AD95" s="63" t="s">
        <v>33</v>
      </c>
      <c r="AE95" s="64" t="s">
        <v>37</v>
      </c>
      <c r="AF95" s="64" t="s">
        <v>34</v>
      </c>
      <c r="AG95" s="538"/>
      <c r="AH95" s="539"/>
      <c r="AI95" s="64"/>
      <c r="AJ95" s="65" t="s">
        <v>35</v>
      </c>
      <c r="AK95" s="67"/>
      <c r="AL95" s="68" t="s">
        <v>11</v>
      </c>
      <c r="AM95" s="612">
        <f>IF(AM98&gt;0,"社会保険料","")</f>
      </c>
      <c r="AN95" s="613"/>
      <c r="AO95" s="69" t="s">
        <v>35</v>
      </c>
      <c r="AP95" s="66" t="s">
        <v>36</v>
      </c>
      <c r="AQ95" s="43" t="s">
        <v>38</v>
      </c>
      <c r="AR95" s="12" t="str">
        <f>$AR$57</f>
        <v>病代</v>
      </c>
      <c r="AS95" s="12"/>
      <c r="AT95" s="186">
        <f>+$AG$4</f>
        <v>5</v>
      </c>
    </row>
    <row r="96" spans="29:46" ht="14.25">
      <c r="AC96" s="443"/>
      <c r="AD96" s="443"/>
      <c r="AE96" s="444"/>
      <c r="AF96" s="444"/>
      <c r="AG96" s="445"/>
      <c r="AH96" s="446"/>
      <c r="AI96" s="444"/>
      <c r="AJ96" s="445"/>
      <c r="AK96" s="447"/>
      <c r="AL96" s="448"/>
      <c r="AM96" s="530">
        <f>+AM57</f>
        <v>519</v>
      </c>
      <c r="AN96" s="531"/>
      <c r="AO96" s="449"/>
      <c r="AP96" s="446"/>
      <c r="AQ96" s="450"/>
      <c r="AR96" s="36"/>
      <c r="AS96" s="36"/>
      <c r="AT96" s="451"/>
    </row>
    <row r="97" spans="29:46" ht="14.25">
      <c r="AC97" s="88" t="str">
        <f>AC58</f>
        <v>非常勤</v>
      </c>
      <c r="AD97" s="574" t="str">
        <f>AD58</f>
        <v>福岡　次郎</v>
      </c>
      <c r="AE97" s="97"/>
      <c r="AF97" s="97"/>
      <c r="AG97" s="530"/>
      <c r="AH97" s="531"/>
      <c r="AI97" s="97"/>
      <c r="AJ97" s="98"/>
      <c r="AK97" s="100"/>
      <c r="AL97" s="101"/>
      <c r="AM97" s="530">
        <f>+AM58</f>
        <v>0</v>
      </c>
      <c r="AN97" s="531"/>
      <c r="AO97" s="102"/>
      <c r="AP97" s="99"/>
      <c r="AQ97" s="363" t="s">
        <v>215</v>
      </c>
      <c r="AR97" s="37">
        <f>AR58</f>
        <v>40274</v>
      </c>
      <c r="AS97" s="37" t="str">
        <f>AS58</f>
        <v>～</v>
      </c>
      <c r="AT97" s="51">
        <f>AT58</f>
        <v>40315</v>
      </c>
    </row>
    <row r="98" spans="29:46" ht="14.25">
      <c r="AC98" s="88" t="str">
        <f>AC59</f>
        <v>講　師</v>
      </c>
      <c r="AD98" s="575"/>
      <c r="AE98" s="97"/>
      <c r="AF98" s="97">
        <f>AF59</f>
        <v>0</v>
      </c>
      <c r="AG98" s="530"/>
      <c r="AH98" s="531"/>
      <c r="AI98" s="97"/>
      <c r="AJ98" s="98"/>
      <c r="AK98" s="100"/>
      <c r="AL98" s="101"/>
      <c r="AM98" s="530">
        <f>+AM59</f>
        <v>0</v>
      </c>
      <c r="AN98" s="531"/>
      <c r="AO98" s="102"/>
      <c r="AP98" s="99"/>
      <c r="AQ98" s="42" t="s">
        <v>42</v>
      </c>
      <c r="AR98" s="232" t="str">
        <f>IF(AND(1&lt;$AG$1,$AG$1&lt;6)," 173,000円×","")</f>
        <v> 173,000円×</v>
      </c>
      <c r="AT98" s="201"/>
    </row>
    <row r="99" spans="29:46" ht="14.25">
      <c r="AC99" s="88"/>
      <c r="AD99" s="80"/>
      <c r="AE99" s="103"/>
      <c r="AF99" s="103">
        <f>AF60</f>
        <v>173000</v>
      </c>
      <c r="AG99" s="530"/>
      <c r="AH99" s="531"/>
      <c r="AI99" s="103"/>
      <c r="AJ99" s="532">
        <f>AJ60</f>
        <v>173000</v>
      </c>
      <c r="AK99" s="533"/>
      <c r="AL99" s="108">
        <f>AL60</f>
        <v>12000</v>
      </c>
      <c r="AM99" s="530">
        <f>+AM60</f>
        <v>0</v>
      </c>
      <c r="AN99" s="531"/>
      <c r="AO99" s="106">
        <f>AO60</f>
        <v>12519</v>
      </c>
      <c r="AP99" s="107">
        <f>AP60</f>
        <v>160481</v>
      </c>
      <c r="AQ99" s="42"/>
      <c r="AR99" s="233">
        <f>IF(AND(1&lt;$AG$1,$AG$1&lt;6),HLOOKUP($AG$4,$D$20:$R$27,3),"")</f>
        <v>24</v>
      </c>
      <c r="AS99" s="163" t="str">
        <f>IF(AND(1&lt;$AG$1,$AG$1&lt;6),"／","")</f>
        <v>／</v>
      </c>
      <c r="AT99" s="234">
        <f>IF(AND(1&lt;$AG$1,$AG$1&lt;6),HLOOKUP($AG$4,$D$20:$R$27,5),"")</f>
        <v>24</v>
      </c>
    </row>
    <row r="100" spans="29:46" ht="12">
      <c r="AC100" s="52"/>
      <c r="AD100" s="52"/>
      <c r="AE100" s="59"/>
      <c r="AF100" s="59"/>
      <c r="AG100" s="59"/>
      <c r="AH100" s="59"/>
      <c r="AI100" s="59"/>
      <c r="AJ100" s="59"/>
      <c r="AK100" s="59"/>
      <c r="AL100" s="59"/>
      <c r="AM100" s="59"/>
      <c r="AN100" s="59"/>
      <c r="AO100" s="59"/>
      <c r="AP100" s="59"/>
      <c r="AQ100" s="53"/>
      <c r="AR100" s="54"/>
      <c r="AS100" s="55"/>
      <c r="AT100" s="56"/>
    </row>
    <row r="101" spans="29:46" ht="12">
      <c r="AC101" s="63" t="s">
        <v>9</v>
      </c>
      <c r="AD101" s="63" t="s">
        <v>33</v>
      </c>
      <c r="AE101" s="64" t="s">
        <v>37</v>
      </c>
      <c r="AF101" s="64" t="s">
        <v>34</v>
      </c>
      <c r="AG101" s="538"/>
      <c r="AH101" s="539"/>
      <c r="AI101" s="64"/>
      <c r="AJ101" s="65" t="s">
        <v>35</v>
      </c>
      <c r="AK101" s="67"/>
      <c r="AL101" s="68" t="s">
        <v>11</v>
      </c>
      <c r="AM101" s="612">
        <f>IF(AM104&gt;0,"社会保険料","")</f>
      </c>
      <c r="AN101" s="613"/>
      <c r="AO101" s="69" t="s">
        <v>35</v>
      </c>
      <c r="AP101" s="66" t="s">
        <v>36</v>
      </c>
      <c r="AQ101" s="43" t="s">
        <v>38</v>
      </c>
      <c r="AR101" s="12">
        <f>$AR$61</f>
      </c>
      <c r="AS101" s="12"/>
      <c r="AT101" s="186">
        <f>+$AG$4</f>
        <v>5</v>
      </c>
    </row>
    <row r="102" spans="29:46" ht="14.25">
      <c r="AC102" s="443"/>
      <c r="AD102" s="443"/>
      <c r="AE102" s="444"/>
      <c r="AF102" s="444"/>
      <c r="AG102" s="445"/>
      <c r="AH102" s="446"/>
      <c r="AI102" s="444"/>
      <c r="AJ102" s="445"/>
      <c r="AK102" s="447"/>
      <c r="AL102" s="448"/>
      <c r="AM102" s="530">
        <f>+AM61</f>
      </c>
      <c r="AN102" s="531"/>
      <c r="AO102" s="449"/>
      <c r="AP102" s="446"/>
      <c r="AQ102" s="450"/>
      <c r="AR102" s="36"/>
      <c r="AS102" s="36"/>
      <c r="AT102" s="451"/>
    </row>
    <row r="103" spans="29:46" ht="14.25">
      <c r="AC103" s="88">
        <f>AC62</f>
      </c>
      <c r="AD103" s="574">
        <f>AD62</f>
      </c>
      <c r="AE103" s="97"/>
      <c r="AF103" s="97"/>
      <c r="AG103" s="530"/>
      <c r="AH103" s="531"/>
      <c r="AI103" s="97"/>
      <c r="AJ103" s="98"/>
      <c r="AK103" s="100"/>
      <c r="AL103" s="101"/>
      <c r="AM103" s="530">
        <f>+AM62</f>
        <v>0</v>
      </c>
      <c r="AN103" s="531"/>
      <c r="AO103" s="102"/>
      <c r="AP103" s="99"/>
      <c r="AQ103" s="187" t="s">
        <v>215</v>
      </c>
      <c r="AR103" s="37">
        <f aca="true" t="shared" si="23" ref="AR103:AT105">AR62</f>
      </c>
      <c r="AS103" s="37">
        <f t="shared" si="23"/>
      </c>
      <c r="AT103" s="51">
        <f t="shared" si="23"/>
      </c>
    </row>
    <row r="104" spans="29:46" ht="14.25">
      <c r="AC104" s="88">
        <f>AC63</f>
      </c>
      <c r="AD104" s="575"/>
      <c r="AE104" s="97"/>
      <c r="AF104" s="97">
        <f>AF63</f>
      </c>
      <c r="AG104" s="530"/>
      <c r="AH104" s="531"/>
      <c r="AI104" s="97"/>
      <c r="AJ104" s="98"/>
      <c r="AK104" s="100"/>
      <c r="AL104" s="101"/>
      <c r="AM104" s="530">
        <f>+AM63</f>
        <v>0</v>
      </c>
      <c r="AN104" s="531"/>
      <c r="AO104" s="102"/>
      <c r="AP104" s="99"/>
      <c r="AQ104" s="42" t="s">
        <v>42</v>
      </c>
      <c r="AR104" s="232">
        <f>IF(AND(2&lt;$AG$1,$AG$1&lt;6)," 173,000円×","")</f>
      </c>
      <c r="AT104" s="201"/>
    </row>
    <row r="105" spans="29:46" ht="14.25">
      <c r="AC105" s="88"/>
      <c r="AD105" s="80"/>
      <c r="AE105" s="103"/>
      <c r="AF105" s="103">
        <f>AF64</f>
      </c>
      <c r="AG105" s="530"/>
      <c r="AH105" s="531"/>
      <c r="AI105" s="103"/>
      <c r="AJ105" s="532">
        <f>AJ64</f>
        <v>0</v>
      </c>
      <c r="AK105" s="533"/>
      <c r="AL105" s="108" t="e">
        <f>AL64</f>
        <v>#VALUE!</v>
      </c>
      <c r="AM105" s="530">
        <f>+AM64</f>
        <v>0</v>
      </c>
      <c r="AN105" s="531"/>
      <c r="AO105" s="106" t="e">
        <f>AO64</f>
        <v>#VALUE!</v>
      </c>
      <c r="AP105" s="107">
        <f>AP64</f>
      </c>
      <c r="AQ105" s="42"/>
      <c r="AR105" s="233">
        <f>IF(AND(2&lt;$AG$1,$AG$1&lt;6),HLOOKUP($AG$4,$D$29:$R$36,3),"")</f>
      </c>
      <c r="AS105" s="41">
        <f t="shared" si="23"/>
      </c>
      <c r="AT105" s="234">
        <f>IF(AND(2&lt;$AG$1,$AG$1&lt;6),HLOOKUP($AG$4,$D$29:$R$36,5),"")</f>
      </c>
    </row>
    <row r="106" spans="29:46" ht="12">
      <c r="AC106" s="52"/>
      <c r="AD106" s="52"/>
      <c r="AE106" s="59"/>
      <c r="AF106" s="59"/>
      <c r="AG106" s="59"/>
      <c r="AH106" s="59"/>
      <c r="AI106" s="59"/>
      <c r="AJ106" s="59"/>
      <c r="AK106" s="59"/>
      <c r="AL106" s="59"/>
      <c r="AM106" s="59"/>
      <c r="AN106" s="59"/>
      <c r="AO106" s="59"/>
      <c r="AP106" s="59"/>
      <c r="AQ106" s="53"/>
      <c r="AR106" s="54"/>
      <c r="AS106" s="55"/>
      <c r="AT106" s="56"/>
    </row>
    <row r="107" spans="29:46" ht="12">
      <c r="AC107" s="63" t="s">
        <v>9</v>
      </c>
      <c r="AD107" s="63" t="s">
        <v>33</v>
      </c>
      <c r="AE107" s="64" t="s">
        <v>37</v>
      </c>
      <c r="AF107" s="64" t="s">
        <v>34</v>
      </c>
      <c r="AG107" s="538"/>
      <c r="AH107" s="539"/>
      <c r="AI107" s="64"/>
      <c r="AJ107" s="65" t="s">
        <v>35</v>
      </c>
      <c r="AK107" s="67"/>
      <c r="AL107" s="68" t="s">
        <v>11</v>
      </c>
      <c r="AM107" s="612">
        <f>IF(AM110&gt;0,"社会保険料","")</f>
      </c>
      <c r="AN107" s="613"/>
      <c r="AO107" s="69" t="s">
        <v>35</v>
      </c>
      <c r="AP107" s="66" t="s">
        <v>36</v>
      </c>
      <c r="AQ107" s="43" t="s">
        <v>38</v>
      </c>
      <c r="AR107" s="12"/>
      <c r="AS107" s="12"/>
      <c r="AT107" s="186">
        <f>+$AG$4</f>
        <v>5</v>
      </c>
    </row>
    <row r="108" spans="29:46" ht="14.25">
      <c r="AC108" s="443"/>
      <c r="AD108" s="443"/>
      <c r="AE108" s="444"/>
      <c r="AF108" s="444"/>
      <c r="AG108" s="445"/>
      <c r="AH108" s="446"/>
      <c r="AI108" s="444"/>
      <c r="AJ108" s="445"/>
      <c r="AK108" s="447"/>
      <c r="AL108" s="448"/>
      <c r="AM108" s="530">
        <f>+AM65</f>
      </c>
      <c r="AN108" s="531"/>
      <c r="AO108" s="449"/>
      <c r="AP108" s="446"/>
      <c r="AQ108" s="450"/>
      <c r="AR108" s="36"/>
      <c r="AS108" s="36"/>
      <c r="AT108" s="451"/>
    </row>
    <row r="109" spans="29:46" ht="14.25">
      <c r="AC109" s="88">
        <f>AC66</f>
      </c>
      <c r="AD109" s="574">
        <f>AD66</f>
      </c>
      <c r="AE109" s="97"/>
      <c r="AF109" s="97"/>
      <c r="AG109" s="530"/>
      <c r="AH109" s="531"/>
      <c r="AI109" s="97"/>
      <c r="AJ109" s="98"/>
      <c r="AK109" s="100"/>
      <c r="AL109" s="101"/>
      <c r="AM109" s="530">
        <f>+AM66</f>
        <v>0</v>
      </c>
      <c r="AN109" s="531"/>
      <c r="AO109" s="102"/>
      <c r="AP109" s="99"/>
      <c r="AQ109" s="187" t="s">
        <v>215</v>
      </c>
      <c r="AR109" s="37">
        <f aca="true" t="shared" si="24" ref="AR109:AT111">AR66</f>
      </c>
      <c r="AS109" s="37">
        <f t="shared" si="24"/>
      </c>
      <c r="AT109" s="51">
        <f t="shared" si="24"/>
      </c>
    </row>
    <row r="110" spans="29:46" ht="14.25">
      <c r="AC110" s="88">
        <f>AC67</f>
      </c>
      <c r="AD110" s="575"/>
      <c r="AE110" s="97"/>
      <c r="AF110" s="97">
        <f>AF67</f>
      </c>
      <c r="AG110" s="530"/>
      <c r="AH110" s="531"/>
      <c r="AI110" s="97"/>
      <c r="AJ110" s="98"/>
      <c r="AK110" s="100"/>
      <c r="AL110" s="101"/>
      <c r="AM110" s="530">
        <f>+AM67</f>
        <v>0</v>
      </c>
      <c r="AN110" s="531"/>
      <c r="AO110" s="102"/>
      <c r="AP110" s="99"/>
      <c r="AQ110" s="42" t="s">
        <v>42</v>
      </c>
      <c r="AR110" s="232">
        <f>IF(AND(3&lt;$AG$1,$AG$1&lt;6)," 173,000円×","")</f>
      </c>
      <c r="AS110" s="37"/>
      <c r="AT110" s="70"/>
    </row>
    <row r="111" spans="29:46" ht="14.25">
      <c r="AC111" s="88"/>
      <c r="AD111" s="80"/>
      <c r="AE111" s="103"/>
      <c r="AF111" s="103">
        <f>AF68</f>
      </c>
      <c r="AG111" s="530"/>
      <c r="AH111" s="531"/>
      <c r="AI111" s="103"/>
      <c r="AJ111" s="532">
        <f>AJ68</f>
        <v>0</v>
      </c>
      <c r="AK111" s="533"/>
      <c r="AL111" s="108" t="e">
        <f>AL68</f>
        <v>#VALUE!</v>
      </c>
      <c r="AM111" s="530">
        <f>+AM68</f>
        <v>0</v>
      </c>
      <c r="AN111" s="531"/>
      <c r="AO111" s="106" t="e">
        <f>AO68</f>
        <v>#VALUE!</v>
      </c>
      <c r="AP111" s="107">
        <f>AP68</f>
      </c>
      <c r="AQ111" s="42"/>
      <c r="AR111" s="62">
        <f t="shared" si="24"/>
      </c>
      <c r="AS111" s="41">
        <f t="shared" si="24"/>
      </c>
      <c r="AT111" s="71">
        <f t="shared" si="24"/>
      </c>
    </row>
    <row r="112" spans="29:46" ht="12">
      <c r="AC112" s="52"/>
      <c r="AD112" s="52"/>
      <c r="AE112" s="59"/>
      <c r="AF112" s="59"/>
      <c r="AG112" s="59"/>
      <c r="AH112" s="59"/>
      <c r="AI112" s="59"/>
      <c r="AJ112" s="59"/>
      <c r="AK112" s="59"/>
      <c r="AL112" s="59"/>
      <c r="AM112" s="59"/>
      <c r="AN112" s="59"/>
      <c r="AO112" s="59"/>
      <c r="AP112" s="59"/>
      <c r="AQ112" s="53"/>
      <c r="AR112" s="54"/>
      <c r="AS112" s="55"/>
      <c r="AT112" s="56"/>
    </row>
    <row r="113" spans="29:46" ht="12">
      <c r="AC113" s="63" t="s">
        <v>9</v>
      </c>
      <c r="AD113" s="63" t="s">
        <v>33</v>
      </c>
      <c r="AE113" s="64" t="s">
        <v>37</v>
      </c>
      <c r="AF113" s="64" t="s">
        <v>34</v>
      </c>
      <c r="AG113" s="538"/>
      <c r="AH113" s="539"/>
      <c r="AI113" s="64"/>
      <c r="AJ113" s="65" t="s">
        <v>35</v>
      </c>
      <c r="AK113" s="67"/>
      <c r="AL113" s="68" t="s">
        <v>11</v>
      </c>
      <c r="AM113" s="612">
        <f>IF(AM116&gt;0,"社会保険料","")</f>
      </c>
      <c r="AN113" s="613"/>
      <c r="AO113" s="69" t="s">
        <v>35</v>
      </c>
      <c r="AP113" s="66" t="s">
        <v>36</v>
      </c>
      <c r="AQ113" s="43" t="s">
        <v>38</v>
      </c>
      <c r="AR113" s="12"/>
      <c r="AS113" s="12"/>
      <c r="AT113" s="186">
        <f>+$AG$4</f>
        <v>5</v>
      </c>
    </row>
    <row r="114" spans="29:46" ht="14.25">
      <c r="AC114" s="443"/>
      <c r="AD114" s="443"/>
      <c r="AE114" s="444"/>
      <c r="AF114" s="444"/>
      <c r="AG114" s="445"/>
      <c r="AH114" s="446"/>
      <c r="AI114" s="444"/>
      <c r="AJ114" s="445"/>
      <c r="AK114" s="447"/>
      <c r="AL114" s="448"/>
      <c r="AM114" s="530">
        <f>+AM69</f>
      </c>
      <c r="AN114" s="531"/>
      <c r="AO114" s="449"/>
      <c r="AP114" s="446"/>
      <c r="AQ114" s="450"/>
      <c r="AR114" s="36"/>
      <c r="AS114" s="36"/>
      <c r="AT114" s="451"/>
    </row>
    <row r="115" spans="29:46" ht="14.25">
      <c r="AC115" s="88">
        <f>AC70</f>
      </c>
      <c r="AD115" s="574">
        <f>AD70</f>
      </c>
      <c r="AE115" s="97"/>
      <c r="AF115" s="97"/>
      <c r="AG115" s="530"/>
      <c r="AH115" s="531"/>
      <c r="AI115" s="97"/>
      <c r="AJ115" s="98"/>
      <c r="AK115" s="100"/>
      <c r="AL115" s="101"/>
      <c r="AM115" s="530">
        <f>+AM70</f>
        <v>0</v>
      </c>
      <c r="AN115" s="531"/>
      <c r="AO115" s="102"/>
      <c r="AP115" s="99"/>
      <c r="AQ115" s="187" t="s">
        <v>215</v>
      </c>
      <c r="AR115" s="37">
        <f aca="true" t="shared" si="25" ref="AR115:AT117">AR70</f>
      </c>
      <c r="AS115" s="37">
        <f t="shared" si="25"/>
      </c>
      <c r="AT115" s="51">
        <f t="shared" si="25"/>
      </c>
    </row>
    <row r="116" spans="29:46" ht="14.25">
      <c r="AC116" s="88">
        <f>AC71</f>
      </c>
      <c r="AD116" s="575"/>
      <c r="AE116" s="97"/>
      <c r="AF116" s="97">
        <f>AF71</f>
      </c>
      <c r="AG116" s="530"/>
      <c r="AH116" s="531"/>
      <c r="AI116" s="97"/>
      <c r="AJ116" s="98"/>
      <c r="AK116" s="100"/>
      <c r="AL116" s="101"/>
      <c r="AM116" s="530">
        <f>+AM71</f>
        <v>0</v>
      </c>
      <c r="AN116" s="531"/>
      <c r="AO116" s="102"/>
      <c r="AP116" s="99"/>
      <c r="AQ116" s="42" t="s">
        <v>42</v>
      </c>
      <c r="AR116" s="232">
        <f>IF(AND(4&lt;$AG$1,$AG$1&lt;6)," 173,000円×","")</f>
      </c>
      <c r="AS116" s="37"/>
      <c r="AT116" s="70"/>
    </row>
    <row r="117" spans="29:46" ht="14.25">
      <c r="AC117" s="80"/>
      <c r="AD117" s="80"/>
      <c r="AE117" s="103"/>
      <c r="AF117" s="103">
        <f>AF72</f>
      </c>
      <c r="AG117" s="532"/>
      <c r="AH117" s="540"/>
      <c r="AI117" s="103"/>
      <c r="AJ117" s="532">
        <f>AJ72</f>
        <v>0</v>
      </c>
      <c r="AK117" s="533"/>
      <c r="AL117" s="108" t="e">
        <f>AL72</f>
        <v>#VALUE!</v>
      </c>
      <c r="AM117" s="532">
        <f>+AM72</f>
        <v>0</v>
      </c>
      <c r="AN117" s="540"/>
      <c r="AO117" s="106" t="e">
        <f>AO72</f>
        <v>#VALUE!</v>
      </c>
      <c r="AP117" s="107">
        <f>AP72</f>
      </c>
      <c r="AQ117" s="76"/>
      <c r="AR117" s="62">
        <f t="shared" si="25"/>
      </c>
      <c r="AS117" s="41">
        <f t="shared" si="25"/>
      </c>
      <c r="AT117" s="71">
        <f t="shared" si="25"/>
      </c>
    </row>
  </sheetData>
  <sheetProtection/>
  <mergeCells count="260">
    <mergeCell ref="C5:G5"/>
    <mergeCell ref="C6:G6"/>
    <mergeCell ref="A3:G3"/>
    <mergeCell ref="I6:J6"/>
    <mergeCell ref="C4:G4"/>
    <mergeCell ref="AE1:AF1"/>
    <mergeCell ref="L2:O2"/>
    <mergeCell ref="H2:J2"/>
    <mergeCell ref="AJ93:AK93"/>
    <mergeCell ref="AJ12:AK12"/>
    <mergeCell ref="AJ32:AK32"/>
    <mergeCell ref="AG32:AH32"/>
    <mergeCell ref="AG14:AH14"/>
    <mergeCell ref="AG30:AH30"/>
    <mergeCell ref="AG24:AH24"/>
    <mergeCell ref="AG22:AH22"/>
    <mergeCell ref="AG15:AH15"/>
    <mergeCell ref="AG20:AH20"/>
    <mergeCell ref="AG83:AH83"/>
    <mergeCell ref="AJ28:AK28"/>
    <mergeCell ref="AG84:AH84"/>
    <mergeCell ref="AI1:AK1"/>
    <mergeCell ref="AJ84:AK84"/>
    <mergeCell ref="AJ51:AK51"/>
    <mergeCell ref="AJ56:AK56"/>
    <mergeCell ref="AJ60:AK60"/>
    <mergeCell ref="AG16:AH16"/>
    <mergeCell ref="AG17:AH17"/>
    <mergeCell ref="AJ64:AK64"/>
    <mergeCell ref="AJ52:AK52"/>
    <mergeCell ref="AJ68:AK68"/>
    <mergeCell ref="AJ72:AK72"/>
    <mergeCell ref="AG47:AH47"/>
    <mergeCell ref="AG61:AH61"/>
    <mergeCell ref="AG62:AH62"/>
    <mergeCell ref="AG63:AH63"/>
    <mergeCell ref="AG52:AH52"/>
    <mergeCell ref="AG53:AH53"/>
    <mergeCell ref="AM111:AN111"/>
    <mergeCell ref="AM116:AN116"/>
    <mergeCell ref="AM117:AN117"/>
    <mergeCell ref="AM113:AN113"/>
    <mergeCell ref="AM115:AN115"/>
    <mergeCell ref="AM114:AN114"/>
    <mergeCell ref="AG104:AH104"/>
    <mergeCell ref="AG105:AH105"/>
    <mergeCell ref="AM110:AN110"/>
    <mergeCell ref="AJ105:AK105"/>
    <mergeCell ref="AM107:AN107"/>
    <mergeCell ref="AM109:AN109"/>
    <mergeCell ref="AM104:AN104"/>
    <mergeCell ref="AM105:AN105"/>
    <mergeCell ref="AM108:AN108"/>
    <mergeCell ref="AG115:AH115"/>
    <mergeCell ref="AG116:AH116"/>
    <mergeCell ref="AG117:AH117"/>
    <mergeCell ref="AG107:AH107"/>
    <mergeCell ref="AG109:AH109"/>
    <mergeCell ref="AG110:AH110"/>
    <mergeCell ref="AG111:AH111"/>
    <mergeCell ref="AG113:AH113"/>
    <mergeCell ref="AG101:AH101"/>
    <mergeCell ref="AG89:AH89"/>
    <mergeCell ref="AG91:AH91"/>
    <mergeCell ref="AG92:AH92"/>
    <mergeCell ref="AG93:AH93"/>
    <mergeCell ref="AM101:AN101"/>
    <mergeCell ref="AM92:AN92"/>
    <mergeCell ref="AM93:AN93"/>
    <mergeCell ref="AM99:AN99"/>
    <mergeCell ref="AJ99:AK99"/>
    <mergeCell ref="AM103:AN103"/>
    <mergeCell ref="AG95:AH95"/>
    <mergeCell ref="AG97:AH97"/>
    <mergeCell ref="AG98:AH98"/>
    <mergeCell ref="AG99:AH99"/>
    <mergeCell ref="AG103:AH103"/>
    <mergeCell ref="AM96:AN96"/>
    <mergeCell ref="AM102:AN102"/>
    <mergeCell ref="AM98:AN98"/>
    <mergeCell ref="AM95:AN95"/>
    <mergeCell ref="AM83:AN83"/>
    <mergeCell ref="AM84:AN84"/>
    <mergeCell ref="AM89:AN89"/>
    <mergeCell ref="AM91:AN91"/>
    <mergeCell ref="AM90:AN90"/>
    <mergeCell ref="AM79:AN79"/>
    <mergeCell ref="AM80:AN80"/>
    <mergeCell ref="AM81:AN81"/>
    <mergeCell ref="AM82:AN82"/>
    <mergeCell ref="AM75:AN75"/>
    <mergeCell ref="AM76:AN76"/>
    <mergeCell ref="AM77:AN77"/>
    <mergeCell ref="AM78:AN78"/>
    <mergeCell ref="AM71:AN71"/>
    <mergeCell ref="AM72:AN72"/>
    <mergeCell ref="AM73:AN73"/>
    <mergeCell ref="AM74:AN74"/>
    <mergeCell ref="AM67:AN67"/>
    <mergeCell ref="AM68:AN68"/>
    <mergeCell ref="AM69:AN69"/>
    <mergeCell ref="AM70:AN70"/>
    <mergeCell ref="AM63:AN63"/>
    <mergeCell ref="AM64:AN64"/>
    <mergeCell ref="AM65:AN65"/>
    <mergeCell ref="AM66:AN66"/>
    <mergeCell ref="AM55:AN55"/>
    <mergeCell ref="AM56:AN56"/>
    <mergeCell ref="AM57:AN57"/>
    <mergeCell ref="AM58:AN58"/>
    <mergeCell ref="AM59:AN59"/>
    <mergeCell ref="AM60:AN60"/>
    <mergeCell ref="AM61:AN61"/>
    <mergeCell ref="AM62:AN62"/>
    <mergeCell ref="AG79:AH79"/>
    <mergeCell ref="AG80:AH80"/>
    <mergeCell ref="AG81:AH81"/>
    <mergeCell ref="AG82:AH82"/>
    <mergeCell ref="AG75:AH75"/>
    <mergeCell ref="AG76:AH76"/>
    <mergeCell ref="AG77:AH77"/>
    <mergeCell ref="AG78:AH78"/>
    <mergeCell ref="AG73:AH73"/>
    <mergeCell ref="AG74:AH74"/>
    <mergeCell ref="AG67:AH67"/>
    <mergeCell ref="AG68:AH68"/>
    <mergeCell ref="AG69:AH69"/>
    <mergeCell ref="AG70:AH70"/>
    <mergeCell ref="AG54:AH54"/>
    <mergeCell ref="AM38:AN38"/>
    <mergeCell ref="AM39:AN39"/>
    <mergeCell ref="AM40:AN40"/>
    <mergeCell ref="AM54:AN54"/>
    <mergeCell ref="AM41:AN41"/>
    <mergeCell ref="AM42:AN42"/>
    <mergeCell ref="AM43:AN43"/>
    <mergeCell ref="AM49:AP49"/>
    <mergeCell ref="AL51:AO51"/>
    <mergeCell ref="AM34:AN34"/>
    <mergeCell ref="AM35:AN35"/>
    <mergeCell ref="AM36:AN36"/>
    <mergeCell ref="AM37:AN37"/>
    <mergeCell ref="AG44:AH44"/>
    <mergeCell ref="AM21:AN21"/>
    <mergeCell ref="AM22:AN22"/>
    <mergeCell ref="AM23:AN23"/>
    <mergeCell ref="AM24:AN24"/>
    <mergeCell ref="AM25:AN25"/>
    <mergeCell ref="AM44:AN44"/>
    <mergeCell ref="AG23:AH23"/>
    <mergeCell ref="AJ44:AK44"/>
    <mergeCell ref="AM26:AN26"/>
    <mergeCell ref="AM27:AN27"/>
    <mergeCell ref="AM28:AN28"/>
    <mergeCell ref="AM29:AN29"/>
    <mergeCell ref="AG29:AH29"/>
    <mergeCell ref="AG40:AH40"/>
    <mergeCell ref="AM30:AN30"/>
    <mergeCell ref="AM31:AN31"/>
    <mergeCell ref="AM32:AN32"/>
    <mergeCell ref="AM33:AN33"/>
    <mergeCell ref="AG41:AH41"/>
    <mergeCell ref="AG42:AH42"/>
    <mergeCell ref="AG43:AH43"/>
    <mergeCell ref="AG36:AH36"/>
    <mergeCell ref="AG37:AH37"/>
    <mergeCell ref="AG38:AH38"/>
    <mergeCell ref="AG39:AH39"/>
    <mergeCell ref="AG19:AH19"/>
    <mergeCell ref="AG33:AH33"/>
    <mergeCell ref="AG34:AH34"/>
    <mergeCell ref="AG35:AH35"/>
    <mergeCell ref="AJ24:AK24"/>
    <mergeCell ref="AG25:AH25"/>
    <mergeCell ref="AG26:AH26"/>
    <mergeCell ref="AG31:AH31"/>
    <mergeCell ref="AG27:AH27"/>
    <mergeCell ref="AG28:AH28"/>
    <mergeCell ref="AR11:AT12"/>
    <mergeCell ref="AM14:AN14"/>
    <mergeCell ref="AD42:AD43"/>
    <mergeCell ref="AQ11:AQ12"/>
    <mergeCell ref="AF11:AI11"/>
    <mergeCell ref="AQ21:AQ24"/>
    <mergeCell ref="AQ17:AQ20"/>
    <mergeCell ref="AM20:AN20"/>
    <mergeCell ref="AM16:AN16"/>
    <mergeCell ref="AM15:AN15"/>
    <mergeCell ref="AQ13:AQ16"/>
    <mergeCell ref="AG21:AH21"/>
    <mergeCell ref="AC51:AC52"/>
    <mergeCell ref="AD51:AD52"/>
    <mergeCell ref="AF51:AI51"/>
    <mergeCell ref="AG66:AH66"/>
    <mergeCell ref="AD38:AD39"/>
    <mergeCell ref="AM17:AN17"/>
    <mergeCell ref="AJ16:AK16"/>
    <mergeCell ref="AM18:AN18"/>
    <mergeCell ref="AR51:AT52"/>
    <mergeCell ref="AD54:AD55"/>
    <mergeCell ref="AD58:AD59"/>
    <mergeCell ref="AD62:AD63"/>
    <mergeCell ref="AG55:AH55"/>
    <mergeCell ref="AG56:AH56"/>
    <mergeCell ref="AG57:AH57"/>
    <mergeCell ref="AQ51:AQ52"/>
    <mergeCell ref="AM53:AN53"/>
    <mergeCell ref="AM52:AN52"/>
    <mergeCell ref="AD78:AD79"/>
    <mergeCell ref="AD103:AD104"/>
    <mergeCell ref="AD70:AD71"/>
    <mergeCell ref="AG58:AH58"/>
    <mergeCell ref="AG59:AH59"/>
    <mergeCell ref="AG60:AH60"/>
    <mergeCell ref="AG64:AH64"/>
    <mergeCell ref="AG65:AH65"/>
    <mergeCell ref="AG71:AH71"/>
    <mergeCell ref="AG72:AH72"/>
    <mergeCell ref="AM6:AN6"/>
    <mergeCell ref="AG6:AH6"/>
    <mergeCell ref="I4:J4"/>
    <mergeCell ref="I5:J5"/>
    <mergeCell ref="Y3:AA3"/>
    <mergeCell ref="V3:X3"/>
    <mergeCell ref="S3:U3"/>
    <mergeCell ref="AG4:AH4"/>
    <mergeCell ref="AM7:AN7"/>
    <mergeCell ref="AM8:AN8"/>
    <mergeCell ref="AG7:AH7"/>
    <mergeCell ref="AG8:AH8"/>
    <mergeCell ref="AM13:AN13"/>
    <mergeCell ref="AJ11:AK11"/>
    <mergeCell ref="AG9:AH9"/>
    <mergeCell ref="AM9:AN9"/>
    <mergeCell ref="AJ111:AK111"/>
    <mergeCell ref="AJ117:AK117"/>
    <mergeCell ref="AM97:AN97"/>
    <mergeCell ref="AL11:AO11"/>
    <mergeCell ref="AG12:AH12"/>
    <mergeCell ref="AG13:AH13"/>
    <mergeCell ref="AM12:AN12"/>
    <mergeCell ref="AM19:AN19"/>
    <mergeCell ref="AJ20:AK20"/>
    <mergeCell ref="AG18:AH18"/>
    <mergeCell ref="AD109:AD110"/>
    <mergeCell ref="AD115:AD116"/>
    <mergeCell ref="AD82:AD83"/>
    <mergeCell ref="C10:G10"/>
    <mergeCell ref="I10:J10"/>
    <mergeCell ref="AD91:AD92"/>
    <mergeCell ref="AD97:AD98"/>
    <mergeCell ref="AD66:AD67"/>
    <mergeCell ref="AC11:AC12"/>
    <mergeCell ref="AD11:AD12"/>
    <mergeCell ref="C7:G7"/>
    <mergeCell ref="C8:G8"/>
    <mergeCell ref="I8:J8"/>
    <mergeCell ref="C9:G9"/>
    <mergeCell ref="I9:J9"/>
    <mergeCell ref="I7:J7"/>
  </mergeCells>
  <conditionalFormatting sqref="A24">
    <cfRule type="cellIs" priority="1" dxfId="2" operator="equal" stopIfTrue="1">
      <formula>"予算残が２０％以下になっています"</formula>
    </cfRule>
  </conditionalFormatting>
  <dataValidations count="1">
    <dataValidation type="list" allowBlank="1" showInputMessage="1" showErrorMessage="1" sqref="Q5:Q9">
      <formula1>"○"</formula1>
    </dataValidation>
  </dataValidations>
  <printOptions horizontalCentered="1" verticalCentered="1"/>
  <pageMargins left="0.7874015748031497" right="0.5511811023622047" top="0.5511811023622047" bottom="0.1968503937007874" header="0.2755905511811024" footer="0.1968503937007874"/>
  <pageSetup blackAndWhite="1" errors="blank" horizontalDpi="600" verticalDpi="600" orientation="portrait" paperSize="9" scale="95" r:id="rId3"/>
  <rowBreaks count="2" manualBreakCount="2">
    <brk id="44" max="255" man="1"/>
    <brk id="84" max="255" man="1"/>
  </rowBreaks>
  <legacyDrawing r:id="rId2"/>
</worksheet>
</file>

<file path=xl/worksheets/sheet4.xml><?xml version="1.0" encoding="utf-8"?>
<worksheet xmlns="http://schemas.openxmlformats.org/spreadsheetml/2006/main" xmlns:r="http://schemas.openxmlformats.org/officeDocument/2006/relationships">
  <dimension ref="A1:CG112"/>
  <sheetViews>
    <sheetView showGridLines="0" showZeros="0" zoomScale="75" zoomScaleNormal="75" zoomScalePageLayoutView="0" workbookViewId="0" topLeftCell="A1">
      <selection activeCell="AG5" sqref="AG5"/>
    </sheetView>
  </sheetViews>
  <sheetFormatPr defaultColWidth="9.00390625" defaultRowHeight="12.75"/>
  <cols>
    <col min="1" max="1" width="3.875" style="0" customWidth="1"/>
    <col min="2" max="2" width="10.625" style="0" customWidth="1"/>
    <col min="3" max="3" width="10.75390625" style="0" customWidth="1"/>
    <col min="4" max="6" width="10.75390625" style="0" hidden="1" customWidth="1"/>
    <col min="7" max="18" width="8.75390625" style="0" customWidth="1"/>
    <col min="20" max="20" width="11.00390625" style="0" customWidth="1"/>
    <col min="21" max="21" width="6.375" style="8" customWidth="1"/>
    <col min="22" max="22" width="2.875" style="0" customWidth="1"/>
    <col min="23" max="23" width="6.00390625" style="8" customWidth="1"/>
    <col min="24" max="24" width="6.375" style="8" customWidth="1"/>
    <col min="25" max="25" width="2.875" style="0" customWidth="1"/>
    <col min="26" max="26" width="6.00390625" style="8" customWidth="1"/>
    <col min="27" max="27" width="6.375" style="8" hidden="1" customWidth="1"/>
    <col min="28" max="28" width="2.875" style="0" hidden="1" customWidth="1"/>
    <col min="29" max="29" width="6.00390625" style="8" hidden="1" customWidth="1"/>
    <col min="31" max="31" width="9.25390625" style="8" customWidth="1"/>
    <col min="32" max="32" width="15.75390625" style="0" customWidth="1"/>
    <col min="33" max="34" width="12.00390625" style="0" customWidth="1"/>
    <col min="35" max="35" width="6.75390625" style="0" customWidth="1"/>
    <col min="36" max="36" width="4.25390625" style="0" customWidth="1"/>
    <col min="37" max="37" width="10.625" style="0" customWidth="1"/>
    <col min="38" max="38" width="7.375" style="0" customWidth="1"/>
    <col min="39" max="39" width="4.00390625" style="0" customWidth="1"/>
    <col min="40" max="40" width="9.625" style="0" customWidth="1"/>
    <col min="41" max="41" width="6.25390625" style="0" customWidth="1"/>
    <col min="42" max="42" width="3.875" style="0" customWidth="1"/>
    <col min="43" max="43" width="10.75390625" style="0" customWidth="1"/>
    <col min="44" max="44" width="12.875" style="0" customWidth="1"/>
    <col min="45" max="45" width="10.75390625" style="0" customWidth="1"/>
    <col min="46" max="46" width="7.875" style="0" customWidth="1"/>
    <col min="47" max="47" width="3.00390625" style="0" customWidth="1"/>
    <col min="48" max="48" width="7.25390625" style="0" customWidth="1"/>
    <col min="50" max="85" width="9.125" style="247" customWidth="1"/>
  </cols>
  <sheetData>
    <row r="1" spans="1:38" ht="25.5" customHeight="1" thickBot="1">
      <c r="A1" s="146"/>
      <c r="B1" s="146"/>
      <c r="C1" s="146"/>
      <c r="D1" s="146"/>
      <c r="E1" s="146"/>
      <c r="F1" s="146"/>
      <c r="G1" s="146"/>
      <c r="H1" s="146"/>
      <c r="I1" s="146"/>
      <c r="J1" s="146"/>
      <c r="K1" s="146"/>
      <c r="L1" s="146"/>
      <c r="M1" s="146"/>
      <c r="N1" s="146"/>
      <c r="O1" s="146"/>
      <c r="P1" s="146"/>
      <c r="Q1" s="146"/>
      <c r="R1" s="146"/>
      <c r="AE1" s="589" t="s">
        <v>129</v>
      </c>
      <c r="AF1" s="590"/>
      <c r="AG1" s="229">
        <v>1</v>
      </c>
      <c r="AI1" s="589" t="s">
        <v>164</v>
      </c>
      <c r="AJ1" s="594"/>
      <c r="AK1" s="590"/>
      <c r="AL1" s="229">
        <v>1</v>
      </c>
    </row>
    <row r="2" spans="1:18" ht="23.25" customHeight="1" thickBot="1" thickTop="1">
      <c r="A2" s="147"/>
      <c r="B2" s="120" t="s">
        <v>32</v>
      </c>
      <c r="C2" s="230">
        <v>1</v>
      </c>
      <c r="D2" s="230"/>
      <c r="E2" s="230"/>
      <c r="F2" s="230"/>
      <c r="G2" s="121" t="s">
        <v>31</v>
      </c>
      <c r="H2" s="628" t="str">
        <f>VLOOKUP(C2,'税額表'!$E$3:$F$74,2,FALSE)</f>
        <v>行橋小学校</v>
      </c>
      <c r="I2" s="629"/>
      <c r="J2" s="630"/>
      <c r="K2" s="147"/>
      <c r="L2" s="586" t="s">
        <v>153</v>
      </c>
      <c r="M2" s="587"/>
      <c r="N2" s="587"/>
      <c r="O2" s="588"/>
      <c r="P2" s="147"/>
      <c r="Q2" s="147"/>
      <c r="R2" s="147"/>
    </row>
    <row r="3" spans="1:45" ht="23.25" customHeight="1" thickTop="1">
      <c r="A3" s="591"/>
      <c r="B3" s="591"/>
      <c r="C3" s="591"/>
      <c r="D3" s="591"/>
      <c r="E3" s="591"/>
      <c r="F3" s="591"/>
      <c r="G3" s="592"/>
      <c r="H3" s="147"/>
      <c r="I3" s="147"/>
      <c r="J3" s="147"/>
      <c r="K3" s="147"/>
      <c r="L3" s="147"/>
      <c r="M3" s="147"/>
      <c r="N3" s="147"/>
      <c r="O3" s="147"/>
      <c r="P3" s="147"/>
      <c r="Q3" s="147"/>
      <c r="R3" s="147"/>
      <c r="U3" s="595" t="s">
        <v>143</v>
      </c>
      <c r="V3" s="596"/>
      <c r="W3" s="597"/>
      <c r="X3" s="595" t="s">
        <v>144</v>
      </c>
      <c r="Y3" s="596"/>
      <c r="Z3" s="597"/>
      <c r="AA3" s="595" t="s">
        <v>145</v>
      </c>
      <c r="AB3" s="596"/>
      <c r="AC3" s="597"/>
      <c r="AE3" s="116"/>
      <c r="AF3" s="116"/>
      <c r="AG3" s="116"/>
      <c r="AS3">
        <f>V2</f>
        <v>0</v>
      </c>
    </row>
    <row r="4" spans="1:39" ht="18.75">
      <c r="A4" s="148"/>
      <c r="B4" s="143" t="s">
        <v>142</v>
      </c>
      <c r="C4" s="614" t="s">
        <v>136</v>
      </c>
      <c r="D4" s="615"/>
      <c r="E4" s="615"/>
      <c r="F4" s="615"/>
      <c r="G4" s="604"/>
      <c r="H4" s="137" t="s">
        <v>46</v>
      </c>
      <c r="I4" s="135" t="s">
        <v>135</v>
      </c>
      <c r="J4" s="603" t="s">
        <v>126</v>
      </c>
      <c r="K4" s="604"/>
      <c r="L4" s="603" t="s">
        <v>138</v>
      </c>
      <c r="M4" s="604"/>
      <c r="N4" s="603" t="s">
        <v>137</v>
      </c>
      <c r="O4" s="604"/>
      <c r="P4" s="464" t="s">
        <v>141</v>
      </c>
      <c r="Q4" s="135" t="s">
        <v>140</v>
      </c>
      <c r="R4" s="135" t="s">
        <v>139</v>
      </c>
      <c r="S4" s="140" t="s">
        <v>128</v>
      </c>
      <c r="T4" s="143" t="s">
        <v>20</v>
      </c>
      <c r="U4" s="156">
        <v>1</v>
      </c>
      <c r="V4" s="154"/>
      <c r="W4" s="155">
        <v>1</v>
      </c>
      <c r="X4" s="156">
        <v>2</v>
      </c>
      <c r="Y4" s="154"/>
      <c r="Z4" s="155">
        <v>2</v>
      </c>
      <c r="AA4" s="156">
        <v>3</v>
      </c>
      <c r="AB4" s="154"/>
      <c r="AC4" s="155">
        <v>3</v>
      </c>
      <c r="AD4" t="s">
        <v>239</v>
      </c>
      <c r="AF4" s="33" t="s">
        <v>0</v>
      </c>
      <c r="AG4" s="206">
        <v>30</v>
      </c>
      <c r="AH4" s="32" t="s">
        <v>1</v>
      </c>
      <c r="AI4" s="525">
        <v>4</v>
      </c>
      <c r="AJ4" s="525"/>
      <c r="AK4" s="32" t="s">
        <v>2</v>
      </c>
      <c r="AL4" s="7" t="s">
        <v>3</v>
      </c>
      <c r="AM4" s="7"/>
    </row>
    <row r="5" spans="1:30" ht="12">
      <c r="A5" s="147"/>
      <c r="B5" s="136">
        <v>1</v>
      </c>
      <c r="C5" s="631" t="s">
        <v>269</v>
      </c>
      <c r="D5" s="632"/>
      <c r="E5" s="632"/>
      <c r="F5" s="632"/>
      <c r="G5" s="633"/>
      <c r="H5" s="222">
        <v>5000</v>
      </c>
      <c r="I5" s="209">
        <v>20</v>
      </c>
      <c r="J5" s="616">
        <f>+H5*P5</f>
        <v>0</v>
      </c>
      <c r="K5" s="617"/>
      <c r="L5" s="616">
        <f>+C14</f>
        <v>425000</v>
      </c>
      <c r="M5" s="617"/>
      <c r="N5" s="616">
        <f>+J5-L5</f>
        <v>-425000</v>
      </c>
      <c r="O5" s="617"/>
      <c r="P5" s="465"/>
      <c r="Q5" s="138">
        <f>+C13</f>
        <v>85</v>
      </c>
      <c r="R5" s="138">
        <f>+P5-Q5</f>
        <v>-85</v>
      </c>
      <c r="S5" s="211">
        <v>380</v>
      </c>
      <c r="T5" s="459" t="s">
        <v>247</v>
      </c>
      <c r="U5" s="212">
        <v>40298</v>
      </c>
      <c r="V5" s="157" t="s">
        <v>19</v>
      </c>
      <c r="W5" s="215">
        <v>40379</v>
      </c>
      <c r="X5" s="212"/>
      <c r="Y5" s="157" t="s">
        <v>19</v>
      </c>
      <c r="Z5" s="215"/>
      <c r="AA5" s="212"/>
      <c r="AB5" s="157" t="s">
        <v>19</v>
      </c>
      <c r="AC5" s="215"/>
      <c r="AD5" s="457" t="s">
        <v>240</v>
      </c>
    </row>
    <row r="6" spans="1:45" ht="14.25">
      <c r="A6" s="144"/>
      <c r="B6" s="122">
        <v>2</v>
      </c>
      <c r="C6" s="634"/>
      <c r="D6" s="635"/>
      <c r="E6" s="635"/>
      <c r="F6" s="635"/>
      <c r="G6" s="636"/>
      <c r="H6" s="223"/>
      <c r="I6" s="210"/>
      <c r="J6" s="618">
        <f>+H6*P6</f>
        <v>0</v>
      </c>
      <c r="K6" s="619"/>
      <c r="L6" s="618">
        <f>+C23</f>
        <v>0</v>
      </c>
      <c r="M6" s="619"/>
      <c r="N6" s="618">
        <f>+J6-L6</f>
        <v>0</v>
      </c>
      <c r="O6" s="619"/>
      <c r="P6" s="465"/>
      <c r="Q6" s="139">
        <f>+C22</f>
        <v>0</v>
      </c>
      <c r="R6" s="139">
        <f>+P6-Q6</f>
        <v>0</v>
      </c>
      <c r="S6" s="213"/>
      <c r="T6" s="460" t="s">
        <v>248</v>
      </c>
      <c r="U6" s="214"/>
      <c r="V6" s="158" t="s">
        <v>147</v>
      </c>
      <c r="W6" s="216"/>
      <c r="X6" s="214"/>
      <c r="Y6" s="158" t="s">
        <v>147</v>
      </c>
      <c r="Z6" s="216"/>
      <c r="AA6" s="214"/>
      <c r="AB6" s="158" t="s">
        <v>147</v>
      </c>
      <c r="AC6" s="216"/>
      <c r="AD6" s="457"/>
      <c r="AF6" t="s">
        <v>30</v>
      </c>
      <c r="AI6" s="578" t="s">
        <v>4</v>
      </c>
      <c r="AJ6" s="579"/>
      <c r="AK6" s="23" t="s">
        <v>23</v>
      </c>
      <c r="AO6" s="578" t="s">
        <v>6</v>
      </c>
      <c r="AP6" s="579"/>
      <c r="AQ6" s="23" t="s">
        <v>28</v>
      </c>
      <c r="AS6" s="22" t="s">
        <v>7</v>
      </c>
    </row>
    <row r="7" spans="1:45" ht="13.5" customHeight="1">
      <c r="A7" s="144"/>
      <c r="B7" s="178">
        <v>3</v>
      </c>
      <c r="C7" s="637"/>
      <c r="D7" s="638"/>
      <c r="E7" s="638"/>
      <c r="F7" s="638"/>
      <c r="G7" s="639"/>
      <c r="H7" s="224"/>
      <c r="I7" s="225"/>
      <c r="J7" s="620">
        <f>+H7*P7</f>
        <v>0</v>
      </c>
      <c r="K7" s="621"/>
      <c r="L7" s="624">
        <f>+C32</f>
        <v>0</v>
      </c>
      <c r="M7" s="625"/>
      <c r="N7" s="624">
        <f>+J7-L7</f>
        <v>0</v>
      </c>
      <c r="O7" s="625"/>
      <c r="P7" s="466"/>
      <c r="Q7" s="179">
        <f>+C31</f>
        <v>0</v>
      </c>
      <c r="R7" s="179">
        <f>+P7-Q7</f>
        <v>0</v>
      </c>
      <c r="S7" s="220"/>
      <c r="T7" s="461"/>
      <c r="U7" s="226"/>
      <c r="V7" s="180" t="s">
        <v>148</v>
      </c>
      <c r="W7" s="227"/>
      <c r="X7" s="226"/>
      <c r="Y7" s="180" t="s">
        <v>148</v>
      </c>
      <c r="Z7" s="227"/>
      <c r="AA7" s="226"/>
      <c r="AB7" s="180" t="s">
        <v>148</v>
      </c>
      <c r="AC7" s="227"/>
      <c r="AD7" s="457"/>
      <c r="AF7" t="s">
        <v>5</v>
      </c>
      <c r="AI7" s="576"/>
      <c r="AJ7" s="577"/>
      <c r="AK7" s="23" t="s">
        <v>24</v>
      </c>
      <c r="AO7" s="576"/>
      <c r="AP7" s="577"/>
      <c r="AS7" s="24" t="s">
        <v>8</v>
      </c>
    </row>
    <row r="8" spans="1:45" ht="14.25">
      <c r="A8" s="144"/>
      <c r="B8" s="181"/>
      <c r="C8" s="195"/>
      <c r="D8" s="195"/>
      <c r="E8" s="195"/>
      <c r="F8" s="195"/>
      <c r="G8" s="195"/>
      <c r="H8" s="196"/>
      <c r="I8" s="182"/>
      <c r="J8" s="622"/>
      <c r="K8" s="622"/>
      <c r="L8" s="622"/>
      <c r="M8" s="622"/>
      <c r="N8" s="622"/>
      <c r="O8" s="622"/>
      <c r="P8" s="195"/>
      <c r="Q8" s="182"/>
      <c r="R8" s="182"/>
      <c r="S8" s="182"/>
      <c r="T8" s="197"/>
      <c r="U8" s="198"/>
      <c r="V8" s="198"/>
      <c r="W8" s="198"/>
      <c r="X8" s="198"/>
      <c r="Y8" s="198"/>
      <c r="Z8" s="198"/>
      <c r="AA8" s="183"/>
      <c r="AB8" s="183"/>
      <c r="AC8" s="183"/>
      <c r="AI8" s="576"/>
      <c r="AJ8" s="577"/>
      <c r="AO8" s="576"/>
      <c r="AP8" s="577"/>
      <c r="AS8" s="3"/>
    </row>
    <row r="9" spans="2:47" ht="12.75" customHeight="1">
      <c r="B9" s="48"/>
      <c r="C9" s="147"/>
      <c r="D9" s="147"/>
      <c r="E9" s="147"/>
      <c r="F9" s="147"/>
      <c r="G9" s="147"/>
      <c r="H9" s="199"/>
      <c r="I9" s="184"/>
      <c r="J9" s="623"/>
      <c r="K9" s="623"/>
      <c r="L9" s="623"/>
      <c r="M9" s="623"/>
      <c r="N9" s="623"/>
      <c r="O9" s="623"/>
      <c r="P9" s="147"/>
      <c r="Q9" s="184"/>
      <c r="R9" s="184"/>
      <c r="S9" s="184"/>
      <c r="T9" s="148"/>
      <c r="U9" s="200"/>
      <c r="V9" s="200"/>
      <c r="W9" s="200"/>
      <c r="X9" s="200"/>
      <c r="Y9" s="200"/>
      <c r="Z9" s="200"/>
      <c r="AA9" s="37"/>
      <c r="AB9" s="37"/>
      <c r="AC9" s="37"/>
      <c r="AG9" t="s">
        <v>22</v>
      </c>
      <c r="AI9" s="580"/>
      <c r="AJ9" s="581"/>
      <c r="AK9" t="s">
        <v>48</v>
      </c>
      <c r="AL9" t="s">
        <v>26</v>
      </c>
      <c r="AO9" s="580"/>
      <c r="AP9" s="581"/>
      <c r="AQ9" t="s">
        <v>27</v>
      </c>
      <c r="AS9" s="2"/>
      <c r="AU9" s="29" t="s">
        <v>49</v>
      </c>
    </row>
    <row r="10" ht="12.75" customHeight="1" thickBot="1"/>
    <row r="11" spans="2:48" ht="12.75" customHeight="1">
      <c r="B11" s="123" t="s">
        <v>155</v>
      </c>
      <c r="C11" s="141" t="s">
        <v>125</v>
      </c>
      <c r="D11" s="141">
        <f aca="true" t="shared" si="0" ref="D11:F18">P11</f>
        <v>1</v>
      </c>
      <c r="E11" s="141">
        <f t="shared" si="0"/>
        <v>2</v>
      </c>
      <c r="F11" s="141">
        <f t="shared" si="0"/>
        <v>3</v>
      </c>
      <c r="G11" s="124">
        <v>4</v>
      </c>
      <c r="H11" s="124">
        <v>5</v>
      </c>
      <c r="I11" s="124">
        <v>6</v>
      </c>
      <c r="J11" s="124">
        <v>7</v>
      </c>
      <c r="K11" s="124">
        <v>8</v>
      </c>
      <c r="L11" s="124">
        <v>9</v>
      </c>
      <c r="M11" s="124">
        <v>10</v>
      </c>
      <c r="N11" s="124">
        <v>11</v>
      </c>
      <c r="O11" s="124">
        <v>12</v>
      </c>
      <c r="P11" s="124">
        <v>1</v>
      </c>
      <c r="Q11" s="124">
        <v>2</v>
      </c>
      <c r="R11" s="124">
        <v>3</v>
      </c>
      <c r="AE11" s="582" t="s">
        <v>9</v>
      </c>
      <c r="AF11" s="568" t="s">
        <v>13</v>
      </c>
      <c r="AG11" s="77"/>
      <c r="AH11" s="570" t="s">
        <v>10</v>
      </c>
      <c r="AI11" s="570"/>
      <c r="AJ11" s="570"/>
      <c r="AK11" s="570"/>
      <c r="AL11" s="536"/>
      <c r="AM11" s="537"/>
      <c r="AN11" s="549" t="s">
        <v>21</v>
      </c>
      <c r="AO11" s="536"/>
      <c r="AP11" s="536"/>
      <c r="AQ11" s="537"/>
      <c r="AR11" s="78" t="s">
        <v>18</v>
      </c>
      <c r="AS11" s="568" t="s">
        <v>12</v>
      </c>
      <c r="AT11" s="560" t="s">
        <v>17</v>
      </c>
      <c r="AU11" s="561"/>
      <c r="AV11" s="562"/>
    </row>
    <row r="12" spans="2:48" ht="12.75" customHeight="1">
      <c r="B12" s="125" t="s">
        <v>133</v>
      </c>
      <c r="C12" s="125" t="s">
        <v>132</v>
      </c>
      <c r="D12" s="125" t="str">
        <f t="shared" si="0"/>
        <v>時数</v>
      </c>
      <c r="E12" s="125" t="str">
        <f t="shared" si="0"/>
        <v>時数</v>
      </c>
      <c r="F12" s="125" t="str">
        <f t="shared" si="0"/>
        <v>時数</v>
      </c>
      <c r="G12" s="125" t="s">
        <v>130</v>
      </c>
      <c r="H12" s="125" t="s">
        <v>130</v>
      </c>
      <c r="I12" s="125" t="s">
        <v>130</v>
      </c>
      <c r="J12" s="125" t="s">
        <v>130</v>
      </c>
      <c r="K12" s="125" t="s">
        <v>130</v>
      </c>
      <c r="L12" s="125" t="s">
        <v>130</v>
      </c>
      <c r="M12" s="125" t="s">
        <v>130</v>
      </c>
      <c r="N12" s="125" t="s">
        <v>130</v>
      </c>
      <c r="O12" s="125" t="s">
        <v>130</v>
      </c>
      <c r="P12" s="125" t="s">
        <v>130</v>
      </c>
      <c r="Q12" s="125" t="s">
        <v>130</v>
      </c>
      <c r="R12" s="125" t="s">
        <v>130</v>
      </c>
      <c r="AE12" s="583"/>
      <c r="AF12" s="569"/>
      <c r="AG12" s="81" t="s">
        <v>14</v>
      </c>
      <c r="AH12" s="81" t="s">
        <v>15</v>
      </c>
      <c r="AI12" s="541"/>
      <c r="AJ12" s="547"/>
      <c r="AK12" s="81"/>
      <c r="AL12" s="541" t="s">
        <v>16</v>
      </c>
      <c r="AM12" s="542"/>
      <c r="AN12" s="82" t="s">
        <v>11</v>
      </c>
      <c r="AO12" s="626" t="s">
        <v>246</v>
      </c>
      <c r="AP12" s="627"/>
      <c r="AQ12" s="83" t="s">
        <v>16</v>
      </c>
      <c r="AR12" s="84" t="s">
        <v>10</v>
      </c>
      <c r="AS12" s="569"/>
      <c r="AT12" s="563"/>
      <c r="AU12" s="564"/>
      <c r="AV12" s="565"/>
    </row>
    <row r="13" spans="2:50" ht="12.75" customHeight="1">
      <c r="B13" s="126">
        <f>+P5</f>
        <v>0</v>
      </c>
      <c r="C13" s="127">
        <f>SUM(G13:R13)</f>
        <v>85</v>
      </c>
      <c r="D13" s="127">
        <f t="shared" si="0"/>
        <v>0</v>
      </c>
      <c r="E13" s="127">
        <f t="shared" si="0"/>
        <v>0</v>
      </c>
      <c r="F13" s="127">
        <f t="shared" si="0"/>
        <v>21</v>
      </c>
      <c r="G13" s="217"/>
      <c r="H13" s="217">
        <v>64</v>
      </c>
      <c r="I13" s="217"/>
      <c r="J13" s="217"/>
      <c r="K13" s="217"/>
      <c r="L13" s="217"/>
      <c r="M13" s="217"/>
      <c r="N13" s="217"/>
      <c r="O13" s="217"/>
      <c r="P13" s="217"/>
      <c r="Q13" s="217"/>
      <c r="R13" s="217">
        <v>21</v>
      </c>
      <c r="S13" s="599" t="e">
        <f>IF(AND((Q5/P5)&gt;0.8,(Q5/P5)&lt;=0.9),"予算残が２０％以下になっています",IF(AND((Q5/P5)&gt;0.9,(Q5/P5)&lt;1),"予算残が１０％以下になっています",IF(Q5&gt;P5,"予算を超えています","")))</f>
        <v>#DIV/0!</v>
      </c>
      <c r="T13" s="600"/>
      <c r="U13" s="600"/>
      <c r="V13" s="600"/>
      <c r="W13" s="600"/>
      <c r="X13" s="600"/>
      <c r="Y13" s="600"/>
      <c r="Z13" s="600"/>
      <c r="AE13" s="149"/>
      <c r="AF13" s="86"/>
      <c r="AG13" s="91"/>
      <c r="AH13" s="91"/>
      <c r="AI13" s="544"/>
      <c r="AJ13" s="545"/>
      <c r="AK13" s="91"/>
      <c r="AL13" s="92"/>
      <c r="AM13" s="94"/>
      <c r="AN13" s="95"/>
      <c r="AO13" s="544"/>
      <c r="AP13" s="545"/>
      <c r="AQ13" s="96"/>
      <c r="AR13" s="93"/>
      <c r="AS13" s="571"/>
      <c r="AT13" s="159" t="str">
        <f>IF(AND(0&lt;$AG$1,$AG$1&lt;6),+T5,"")</f>
        <v>S C</v>
      </c>
      <c r="AU13" s="160"/>
      <c r="AV13" s="161"/>
      <c r="AW13" s="146"/>
      <c r="AX13" s="458"/>
    </row>
    <row r="14" spans="2:48" ht="12.75" customHeight="1">
      <c r="B14" s="128">
        <f>+J5</f>
        <v>0</v>
      </c>
      <c r="C14" s="129">
        <f>SUM(G14:R14)</f>
        <v>425000</v>
      </c>
      <c r="D14" s="129">
        <f t="shared" si="0"/>
        <v>0</v>
      </c>
      <c r="E14" s="129">
        <f t="shared" si="0"/>
        <v>0</v>
      </c>
      <c r="F14" s="129">
        <f t="shared" si="0"/>
        <v>105000</v>
      </c>
      <c r="G14" s="128">
        <f aca="true" t="shared" si="1" ref="G14:R14">+$H$5*G13</f>
        <v>0</v>
      </c>
      <c r="H14" s="128">
        <f t="shared" si="1"/>
        <v>320000</v>
      </c>
      <c r="I14" s="128">
        <f t="shared" si="1"/>
        <v>0</v>
      </c>
      <c r="J14" s="128">
        <f t="shared" si="1"/>
        <v>0</v>
      </c>
      <c r="K14" s="128">
        <f t="shared" si="1"/>
        <v>0</v>
      </c>
      <c r="L14" s="128">
        <f t="shared" si="1"/>
        <v>0</v>
      </c>
      <c r="M14" s="128">
        <f t="shared" si="1"/>
        <v>0</v>
      </c>
      <c r="N14" s="128">
        <f t="shared" si="1"/>
        <v>0</v>
      </c>
      <c r="O14" s="128">
        <f t="shared" si="1"/>
        <v>0</v>
      </c>
      <c r="P14" s="128">
        <f t="shared" si="1"/>
        <v>0</v>
      </c>
      <c r="Q14" s="128">
        <f t="shared" si="1"/>
        <v>0</v>
      </c>
      <c r="R14" s="128">
        <f t="shared" si="1"/>
        <v>105000</v>
      </c>
      <c r="S14" s="599"/>
      <c r="T14" s="600"/>
      <c r="U14" s="600"/>
      <c r="V14" s="600"/>
      <c r="W14" s="600"/>
      <c r="X14" s="600"/>
      <c r="Y14" s="600"/>
      <c r="Z14" s="600"/>
      <c r="AE14" s="150">
        <f>IF(AND(0&lt;$AG$1,$AG$1&lt;6),"","")</f>
      </c>
      <c r="AF14" s="118"/>
      <c r="AG14" s="97"/>
      <c r="AH14" s="97"/>
      <c r="AI14" s="530"/>
      <c r="AJ14" s="531"/>
      <c r="AK14" s="97"/>
      <c r="AL14" s="98"/>
      <c r="AM14" s="100"/>
      <c r="AN14" s="101"/>
      <c r="AO14" s="530"/>
      <c r="AP14" s="531"/>
      <c r="AQ14" s="102"/>
      <c r="AR14" s="99"/>
      <c r="AS14" s="572"/>
      <c r="AT14" s="168">
        <f>IF(AND(0&lt;$AG$1,$AG$1&lt;6,$AL$1=1),+U5,IF(AND(0&lt;$AG$1,$AG$1&lt;6,$AL$1=2),+X5,IF(AND(0&lt;$AG$1,$AG$1&lt;6,$AL$1=3),+AA5,"")))</f>
        <v>40298</v>
      </c>
      <c r="AU14" s="162" t="str">
        <f>IF(AT14&gt;0,"～",FALSE)</f>
        <v>～</v>
      </c>
      <c r="AV14" s="171">
        <f>IF(AND(0&lt;$AG$1,$AG$1&lt;6,$AL$1=1),+W5,IF(AND(0&lt;$AG$1,$AG$1&lt;6,$AL$1=2),+Z5,IF(AND(0&lt;$AG$1,$AG$1&lt;6,$AL$1=3),+AC5,"")))</f>
        <v>40379</v>
      </c>
    </row>
    <row r="15" spans="2:48" ht="12.75" customHeight="1">
      <c r="B15" s="130" t="s">
        <v>134</v>
      </c>
      <c r="C15" s="132" t="s">
        <v>131</v>
      </c>
      <c r="D15" s="132" t="str">
        <f t="shared" si="0"/>
        <v>日数</v>
      </c>
      <c r="E15" s="132" t="str">
        <f t="shared" si="0"/>
        <v>日数</v>
      </c>
      <c r="F15" s="132" t="str">
        <f t="shared" si="0"/>
        <v>日数</v>
      </c>
      <c r="G15" s="125" t="s">
        <v>127</v>
      </c>
      <c r="H15" s="125" t="s">
        <v>127</v>
      </c>
      <c r="I15" s="125" t="s">
        <v>127</v>
      </c>
      <c r="J15" s="125" t="s">
        <v>127</v>
      </c>
      <c r="K15" s="125" t="s">
        <v>127</v>
      </c>
      <c r="L15" s="125" t="s">
        <v>127</v>
      </c>
      <c r="M15" s="125" t="s">
        <v>127</v>
      </c>
      <c r="N15" s="125" t="s">
        <v>127</v>
      </c>
      <c r="O15" s="125" t="s">
        <v>127</v>
      </c>
      <c r="P15" s="125" t="s">
        <v>127</v>
      </c>
      <c r="Q15" s="125" t="s">
        <v>127</v>
      </c>
      <c r="R15" s="125" t="s">
        <v>127</v>
      </c>
      <c r="AE15" s="150" t="str">
        <f>IF(AND(0&lt;$AG$1,$AG$1&lt;6),T5,"")</f>
        <v>S C</v>
      </c>
      <c r="AF15" s="88" t="str">
        <f>IF(AND(0&lt;$AG$1,$AG$1&lt;6),+C5,"")</f>
        <v>京築　太郎</v>
      </c>
      <c r="AG15" s="97"/>
      <c r="AH15" s="97">
        <f>IF(AND(0&lt;$AG$1,$AG$1&lt;4,1&lt;$AI$4),HLOOKUP($AI$4-1,$D$11:$R$18,8),IF(AND(0&lt;$AG$1,$AG$1&lt;4,$AI$4=1),HLOOKUP($AI$4+11,$D$11:$R$18,8),""))</f>
        <v>3040</v>
      </c>
      <c r="AI15" s="530"/>
      <c r="AJ15" s="531"/>
      <c r="AK15" s="97"/>
      <c r="AL15" s="98"/>
      <c r="AM15" s="100"/>
      <c r="AN15" s="101"/>
      <c r="AO15" s="530"/>
      <c r="AP15" s="531"/>
      <c r="AQ15" s="102"/>
      <c r="AR15" s="99"/>
      <c r="AS15" s="572"/>
      <c r="AT15" s="169">
        <f>IF(AND(0&lt;$AG$1,$AG$1&lt;6,AH15&gt;0),+S5,"")</f>
        <v>380</v>
      </c>
      <c r="AU15" s="163" t="str">
        <f>IF(AND(0&lt;$AG$1,$AG$1&lt;6,AH15&gt;0),"×","")</f>
        <v>×</v>
      </c>
      <c r="AV15" s="172">
        <f>IF(AND(0&lt;$AG$1,$AG$1&lt;4,AH15&gt;0,1&lt;$AI$4),HLOOKUP($AI$4-1,$D$11:$O$18,6),IF(AND(0&lt;$AG$1,$AG$1&lt;4,AH15&gt;0,$AI$4=1),HLOOKUP($AI$4+11,$D$11:$O$18,6),""))</f>
        <v>8</v>
      </c>
    </row>
    <row r="16" spans="2:48" ht="12.75" customHeight="1">
      <c r="B16" s="127"/>
      <c r="C16" s="142">
        <f>SUM(G16:R16)</f>
        <v>16</v>
      </c>
      <c r="D16" s="142">
        <f t="shared" si="0"/>
        <v>0</v>
      </c>
      <c r="E16" s="142">
        <f t="shared" si="0"/>
        <v>0</v>
      </c>
      <c r="F16" s="142">
        <f t="shared" si="0"/>
        <v>8</v>
      </c>
      <c r="G16" s="217"/>
      <c r="H16" s="217">
        <v>8</v>
      </c>
      <c r="I16" s="217"/>
      <c r="J16" s="217"/>
      <c r="K16" s="217"/>
      <c r="L16" s="217"/>
      <c r="M16" s="217"/>
      <c r="N16" s="217"/>
      <c r="O16" s="217"/>
      <c r="P16" s="217"/>
      <c r="Q16" s="217"/>
      <c r="R16" s="217">
        <v>8</v>
      </c>
      <c r="AE16" s="150"/>
      <c r="AF16" s="80"/>
      <c r="AG16" s="103"/>
      <c r="AH16" s="97">
        <f>IF(AND(0&lt;$AG$1,$AG$1&lt;4,1&lt;$AI$4),HLOOKUP($AI$4-1,$D$11:$R$18,4),IF(AND(0&lt;$AG$1,$AG$1&lt;4,$AI$4=1),HLOOKUP($AI$4+11,$D$11:$R$18,4),""))</f>
        <v>105000</v>
      </c>
      <c r="AI16" s="530"/>
      <c r="AJ16" s="531"/>
      <c r="AK16" s="103"/>
      <c r="AL16" s="532">
        <f>+AH15+AH16</f>
        <v>108040</v>
      </c>
      <c r="AM16" s="533"/>
      <c r="AN16" s="105">
        <f>IF((AH16-SUM(AO14:AP16))&lt;88000,INT((AH16-SUM(AO14:AP16))*0.03063),VLOOKUP((AH16-SUM(AO14:AP16)),'税額表'!$B$3:$C$118,2,TRUE))</f>
        <v>3700</v>
      </c>
      <c r="AO16" s="552">
        <f>IF(AD5="","",IF(((AL16*0.003)-INT(AL16*0.003))=0.5,ROUNDDOWN(AL16*0.003,0),ROUND(AL16*0.003,0)))</f>
        <v>324</v>
      </c>
      <c r="AP16" s="553"/>
      <c r="AQ16" s="106">
        <f>SUM(AN13:AP16)</f>
        <v>4024</v>
      </c>
      <c r="AR16" s="107">
        <f>+AL16-AQ16</f>
        <v>104016</v>
      </c>
      <c r="AS16" s="573"/>
      <c r="AT16" s="169">
        <f>IF(AND(0&lt;$AG$1,$AG$1&lt;6),+H5,"")</f>
        <v>5000</v>
      </c>
      <c r="AU16" s="163" t="str">
        <f>IF(AND(0&lt;$AG$1,$AG$1&lt;6),"×","")</f>
        <v>×</v>
      </c>
      <c r="AV16" s="173">
        <f>IF(AND(0&lt;$AG$1,$AG$1&lt;4,AH16&gt;0,1&lt;$AI$4),HLOOKUP($AI$4-1,$D$11:$O$18,3),IF(AND(0&lt;$AG$1,$AG$1&lt;4,AH16&gt;0,$AI$4=1),HLOOKUP($AI$4+11,$D$11:$O$18,3),""))</f>
        <v>21</v>
      </c>
    </row>
    <row r="17" spans="1:48" ht="12.75" customHeight="1">
      <c r="A17" s="145"/>
      <c r="B17" s="127"/>
      <c r="C17" s="176" t="s">
        <v>150</v>
      </c>
      <c r="D17" s="176">
        <f t="shared" si="0"/>
        <v>0</v>
      </c>
      <c r="E17" s="176">
        <f t="shared" si="0"/>
        <v>0</v>
      </c>
      <c r="F17" s="176">
        <f t="shared" si="0"/>
        <v>1</v>
      </c>
      <c r="G17" s="218"/>
      <c r="H17" s="218">
        <v>1</v>
      </c>
      <c r="I17" s="218"/>
      <c r="J17" s="218"/>
      <c r="K17" s="218"/>
      <c r="L17" s="218"/>
      <c r="M17" s="218"/>
      <c r="N17" s="218"/>
      <c r="O17" s="218"/>
      <c r="P17" s="218"/>
      <c r="Q17" s="218"/>
      <c r="R17" s="218">
        <v>1</v>
      </c>
      <c r="S17" s="58" t="s">
        <v>154</v>
      </c>
      <c r="T17" s="202"/>
      <c r="U17" s="203"/>
      <c r="V17" s="202"/>
      <c r="W17" s="203"/>
      <c r="X17" s="203"/>
      <c r="Y17" s="148"/>
      <c r="Z17" s="148"/>
      <c r="AE17" s="149"/>
      <c r="AF17" s="86"/>
      <c r="AG17" s="91"/>
      <c r="AH17" s="91"/>
      <c r="AI17" s="544"/>
      <c r="AJ17" s="545"/>
      <c r="AK17" s="91"/>
      <c r="AL17" s="92"/>
      <c r="AM17" s="94"/>
      <c r="AN17" s="95"/>
      <c r="AO17" s="556"/>
      <c r="AP17" s="557"/>
      <c r="AQ17" s="96"/>
      <c r="AR17" s="93"/>
      <c r="AS17" s="571"/>
      <c r="AT17" s="159">
        <f>IF(1&lt;$AG$1,+T6,"")</f>
      </c>
      <c r="AU17" s="160"/>
      <c r="AV17" s="161"/>
    </row>
    <row r="18" spans="1:48" ht="12.75" customHeight="1">
      <c r="A18" s="145"/>
      <c r="B18" s="128"/>
      <c r="C18" s="134">
        <f>SUM(G18:R18)</f>
        <v>6080</v>
      </c>
      <c r="D18" s="134">
        <f t="shared" si="0"/>
        <v>0</v>
      </c>
      <c r="E18" s="134">
        <f t="shared" si="0"/>
        <v>0</v>
      </c>
      <c r="F18" s="134">
        <f t="shared" si="0"/>
        <v>3040</v>
      </c>
      <c r="G18" s="128">
        <f aca="true" t="shared" si="2" ref="G18:R18">IF(G17=1,+$S$5*G16,0)</f>
        <v>0</v>
      </c>
      <c r="H18" s="128">
        <f t="shared" si="2"/>
        <v>3040</v>
      </c>
      <c r="I18" s="128">
        <f t="shared" si="2"/>
        <v>0</v>
      </c>
      <c r="J18" s="128">
        <f t="shared" si="2"/>
        <v>0</v>
      </c>
      <c r="K18" s="128">
        <f t="shared" si="2"/>
        <v>0</v>
      </c>
      <c r="L18" s="128">
        <f t="shared" si="2"/>
        <v>0</v>
      </c>
      <c r="M18" s="128">
        <f t="shared" si="2"/>
        <v>0</v>
      </c>
      <c r="N18" s="128">
        <f t="shared" si="2"/>
        <v>0</v>
      </c>
      <c r="O18" s="128">
        <f t="shared" si="2"/>
        <v>0</v>
      </c>
      <c r="P18" s="128">
        <f t="shared" si="2"/>
        <v>0</v>
      </c>
      <c r="Q18" s="128">
        <f t="shared" si="2"/>
        <v>0</v>
      </c>
      <c r="R18" s="128">
        <f t="shared" si="2"/>
        <v>3040</v>
      </c>
      <c r="AE18" s="150"/>
      <c r="AF18" s="118"/>
      <c r="AG18" s="97"/>
      <c r="AH18" s="97"/>
      <c r="AI18" s="530"/>
      <c r="AJ18" s="531"/>
      <c r="AK18" s="97"/>
      <c r="AL18" s="98"/>
      <c r="AM18" s="100"/>
      <c r="AN18" s="101"/>
      <c r="AO18" s="552"/>
      <c r="AP18" s="553"/>
      <c r="AQ18" s="102"/>
      <c r="AR18" s="99"/>
      <c r="AS18" s="572"/>
      <c r="AT18" s="168">
        <f>IF(AND(1&lt;$AG$1,$AG$1&lt;6,$AL$1=1),+U6,IF(AND(1&lt;$AG$1,$AG$1&lt;6,$AL$1=2),+X6,IF(AND(1&lt;$AG$1,$AG$1&lt;6,$AL$1=3),+AA6,"")))</f>
      </c>
      <c r="AU18" s="163">
        <f>IF(AND(1&lt;$AG$1,$AG$1&lt;6),"～","")</f>
      </c>
      <c r="AV18" s="171">
        <f>IF(AND(1&lt;$AG$1,$AG$1&lt;6,$AL$1=1),+W6,IF(AND(1&lt;$AG$1,$AG$1&lt;6,$AL$1=2),+Z6,IF(AND(1&lt;$AG$1,$AG$1&lt;6,$AL$1=3),+AC6,"")))</f>
      </c>
    </row>
    <row r="19" spans="1:48" ht="12.75" customHeight="1">
      <c r="A19" s="145"/>
      <c r="AE19" s="150">
        <f>IF(AND(1&lt;$AG$1,$AG$1&lt;6),T6,"")</f>
      </c>
      <c r="AF19" s="88">
        <f>IF(AND(1&lt;$AG$1,$AG$1&lt;6),+C6,"")</f>
      </c>
      <c r="AG19" s="97"/>
      <c r="AH19" s="97">
        <f>IF(AND(1&lt;$AG$1,$AG$1&lt;6,1&lt;$AI$4),HLOOKUP($AI$4-1,$D$20:$R$27,8),IF(AND(1&lt;$AG$1,$AG$1&lt;6,$AI$4=1),HLOOKUP($AI$4+11,$D$20:$R$27,8),""))</f>
      </c>
      <c r="AI19" s="530"/>
      <c r="AJ19" s="531"/>
      <c r="AK19" s="97"/>
      <c r="AL19" s="98"/>
      <c r="AM19" s="100"/>
      <c r="AN19" s="101"/>
      <c r="AO19" s="552">
        <f>IF(AD6="","",IF(((AL20*0.004)-INT(AL20*0.004))=0.5,ROUNDDOWN(AL20*0.004,0),ROUND(AL20*0.004,0)))</f>
      </c>
      <c r="AP19" s="553"/>
      <c r="AQ19" s="102"/>
      <c r="AR19" s="99"/>
      <c r="AS19" s="572"/>
      <c r="AT19" s="169">
        <f>IF(AND(1&lt;$AG$1,$AG$1&lt;6,AH19&gt;0),+S6,"")</f>
      </c>
      <c r="AU19" s="163">
        <f>IF(AND(1&lt;$AG$1,$AG$1&lt;6,AH19&gt;0),"×","")</f>
      </c>
      <c r="AV19" s="172">
        <f>IF(AND(1&lt;$AG$1,$AG$1&lt;6,AH19&gt;0,1&lt;$AI$4),HLOOKUP($AI$4-1,$D$20:$O$27,6),IF(AND(1&lt;$AG$1,$AG$1&lt;6,AH19&gt;0,$AI$4=1),HLOOKUP($AI$4+11,$D$20:$O$27,6),""))</f>
      </c>
    </row>
    <row r="20" spans="1:48" ht="12.75" customHeight="1">
      <c r="A20" s="145"/>
      <c r="B20" s="123" t="s">
        <v>156</v>
      </c>
      <c r="C20" s="141" t="s">
        <v>125</v>
      </c>
      <c r="D20" s="141">
        <f aca="true" t="shared" si="3" ref="D20:F27">P20</f>
        <v>1</v>
      </c>
      <c r="E20" s="141">
        <f t="shared" si="3"/>
        <v>2</v>
      </c>
      <c r="F20" s="141">
        <f t="shared" si="3"/>
        <v>3</v>
      </c>
      <c r="G20" s="124">
        <v>4</v>
      </c>
      <c r="H20" s="124">
        <v>5</v>
      </c>
      <c r="I20" s="124">
        <v>6</v>
      </c>
      <c r="J20" s="124">
        <v>7</v>
      </c>
      <c r="K20" s="124">
        <v>8</v>
      </c>
      <c r="L20" s="124">
        <v>9</v>
      </c>
      <c r="M20" s="124">
        <v>10</v>
      </c>
      <c r="N20" s="124">
        <v>11</v>
      </c>
      <c r="O20" s="124">
        <v>12</v>
      </c>
      <c r="P20" s="124">
        <v>1</v>
      </c>
      <c r="Q20" s="124">
        <v>2</v>
      </c>
      <c r="R20" s="124">
        <v>3</v>
      </c>
      <c r="AE20" s="150"/>
      <c r="AF20" s="80"/>
      <c r="AG20" s="103"/>
      <c r="AH20" s="97">
        <f>IF(AND(1&lt;$AG$1,$AG$1&lt;6,1&lt;$AI$4),HLOOKUP($AI$4-1,$D$20:$R$27,4),IF(AND(1&lt;$AG$1,$AG$1&lt;6,$AI$4=1),HLOOKUP($AI$4+11,$D$20:$R$27,4),""))</f>
      </c>
      <c r="AI20" s="530"/>
      <c r="AJ20" s="531"/>
      <c r="AK20" s="103"/>
      <c r="AL20" s="532">
        <f>SUM(AG17:AK20)</f>
        <v>0</v>
      </c>
      <c r="AM20" s="533"/>
      <c r="AN20" s="105">
        <f>IF(AG1&gt;1,IF((AH20-SUM(AO18:AP20))&lt;88000,INT((AH20-SUM(AO18:AP20))*0.03063),VLOOKUP((AH20-SUM(AO18:AP20)),'税額表'!$B$3:$C$118,2,TRUE)),"")</f>
      </c>
      <c r="AO20" s="558"/>
      <c r="AP20" s="559"/>
      <c r="AQ20" s="106">
        <f>SUM(AN17:AP20)</f>
        <v>0</v>
      </c>
      <c r="AR20" s="107">
        <f>IF(AG1&gt;1,+AL20-AQ20,"")</f>
      </c>
      <c r="AS20" s="573"/>
      <c r="AT20" s="169">
        <f>IF(AND(1&lt;$AG$1,$AG$1&lt;6),+H6,"")</f>
      </c>
      <c r="AU20" s="163">
        <f>IF(AND(1&lt;$AG$1,$AG$1&lt;6),"×","")</f>
      </c>
      <c r="AV20" s="173">
        <f>IF(AND(1&lt;$AG$1,$AG$1&lt;6,AH20&gt;0,1&lt;$AI$4),HLOOKUP($AI$4-1,$D$20:$O$27,3),IF(AND(1&lt;$AG$1,$AG$1&lt;6,AH20&gt;0,$AI$4=1),HLOOKUP($AI$4+11,$D$20:$O$27,3),""))</f>
      </c>
    </row>
    <row r="21" spans="1:48" ht="12.75" customHeight="1">
      <c r="A21" s="145"/>
      <c r="B21" s="125" t="s">
        <v>133</v>
      </c>
      <c r="C21" s="125" t="s">
        <v>132</v>
      </c>
      <c r="D21" s="125" t="str">
        <f t="shared" si="3"/>
        <v>時数</v>
      </c>
      <c r="E21" s="125" t="str">
        <f t="shared" si="3"/>
        <v>時数</v>
      </c>
      <c r="F21" s="125" t="str">
        <f t="shared" si="3"/>
        <v>時数</v>
      </c>
      <c r="G21" s="125" t="s">
        <v>130</v>
      </c>
      <c r="H21" s="125" t="s">
        <v>130</v>
      </c>
      <c r="I21" s="125" t="s">
        <v>130</v>
      </c>
      <c r="J21" s="125" t="s">
        <v>130</v>
      </c>
      <c r="K21" s="125" t="s">
        <v>130</v>
      </c>
      <c r="L21" s="125" t="s">
        <v>130</v>
      </c>
      <c r="M21" s="125" t="s">
        <v>130</v>
      </c>
      <c r="N21" s="125" t="s">
        <v>130</v>
      </c>
      <c r="O21" s="125" t="s">
        <v>130</v>
      </c>
      <c r="P21" s="125" t="s">
        <v>130</v>
      </c>
      <c r="Q21" s="125" t="s">
        <v>130</v>
      </c>
      <c r="R21" s="125" t="s">
        <v>130</v>
      </c>
      <c r="AE21" s="149"/>
      <c r="AF21" s="86"/>
      <c r="AG21" s="91"/>
      <c r="AH21" s="91"/>
      <c r="AI21" s="544"/>
      <c r="AJ21" s="545"/>
      <c r="AK21" s="91"/>
      <c r="AL21" s="92"/>
      <c r="AM21" s="94"/>
      <c r="AN21" s="95"/>
      <c r="AO21" s="552"/>
      <c r="AP21" s="553"/>
      <c r="AQ21" s="96"/>
      <c r="AR21" s="93"/>
      <c r="AS21" s="571"/>
      <c r="AT21" s="159">
        <f>IF(AND(2&lt;$AG$1,$AG$1&lt;6),+T7,"")</f>
      </c>
      <c r="AU21" s="160"/>
      <c r="AV21" s="161"/>
    </row>
    <row r="22" spans="1:48" ht="12.75" customHeight="1">
      <c r="A22" s="145"/>
      <c r="B22" s="126">
        <f>+P6</f>
        <v>0</v>
      </c>
      <c r="C22" s="127">
        <f>SUM(G22:R22)</f>
        <v>0</v>
      </c>
      <c r="D22" s="127">
        <f t="shared" si="3"/>
        <v>0</v>
      </c>
      <c r="E22" s="127">
        <f t="shared" si="3"/>
        <v>0</v>
      </c>
      <c r="F22" s="127">
        <f t="shared" si="3"/>
        <v>0</v>
      </c>
      <c r="G22" s="217"/>
      <c r="H22" s="217"/>
      <c r="I22" s="217"/>
      <c r="J22" s="217"/>
      <c r="K22" s="217"/>
      <c r="L22" s="217"/>
      <c r="M22" s="217"/>
      <c r="N22" s="217"/>
      <c r="O22" s="217"/>
      <c r="P22" s="217"/>
      <c r="Q22" s="217"/>
      <c r="R22" s="217"/>
      <c r="S22" s="599" t="e">
        <f>IF(AND((Q6/P6)&gt;0.8,(Q6/P6)&lt;=0.9),"予算残が２０％以下になっています",IF(AND((Q6/P6)&gt;0.9,(Q6/P6)&lt;1),"予算残が１０％以下になっています",IF(Q6&gt;P6,"予算を超えています","")))</f>
        <v>#DIV/0!</v>
      </c>
      <c r="T22" s="600"/>
      <c r="U22" s="600"/>
      <c r="V22" s="600"/>
      <c r="W22" s="600"/>
      <c r="X22" s="600"/>
      <c r="Y22" s="600"/>
      <c r="Z22" s="600"/>
      <c r="AE22" s="150"/>
      <c r="AF22" s="118"/>
      <c r="AG22" s="97"/>
      <c r="AH22" s="97"/>
      <c r="AI22" s="530"/>
      <c r="AJ22" s="531"/>
      <c r="AK22" s="97"/>
      <c r="AL22" s="98"/>
      <c r="AM22" s="100"/>
      <c r="AN22" s="101"/>
      <c r="AO22" s="552"/>
      <c r="AP22" s="553"/>
      <c r="AQ22" s="102"/>
      <c r="AR22" s="99"/>
      <c r="AS22" s="572"/>
      <c r="AT22" s="168">
        <f>IF(AND(2&lt;$AG$1,$AG$1&lt;6,$AL$1=1),+U7,IF(AND(2&lt;$AG$1,$AG$1&lt;6,$AL$1=2),+X7,IF(AND(2&lt;$AG$1,$AG$1&lt;6,$AL$1=3),+AA7,"")))</f>
      </c>
      <c r="AU22" s="163">
        <f>IF(AND(2&lt;$AG$1,$AG$1&lt;6),"～","")</f>
      </c>
      <c r="AV22" s="171">
        <f>IF(AND(2&lt;$AG$1,$AG$1&lt;6,$AL$1=1),+W7,IF(AND(2&lt;$AG$1,$AG$1&lt;6,$AL$1=2),+Z7,IF(AND(2&lt;$AG$1,$AG$1&lt;6,$AL$1=3),+AC7,"")))</f>
      </c>
    </row>
    <row r="23" spans="1:48" ht="12.75" customHeight="1">
      <c r="A23" s="145"/>
      <c r="B23" s="128">
        <f>+J6</f>
        <v>0</v>
      </c>
      <c r="C23" s="129">
        <f>SUM(G23:R23)</f>
        <v>0</v>
      </c>
      <c r="D23" s="129">
        <f t="shared" si="3"/>
        <v>0</v>
      </c>
      <c r="E23" s="129">
        <f t="shared" si="3"/>
        <v>0</v>
      </c>
      <c r="F23" s="129">
        <f t="shared" si="3"/>
        <v>0</v>
      </c>
      <c r="G23" s="128">
        <f aca="true" t="shared" si="4" ref="G23:R23">+$H$6*G22</f>
        <v>0</v>
      </c>
      <c r="H23" s="128">
        <f t="shared" si="4"/>
        <v>0</v>
      </c>
      <c r="I23" s="128">
        <f t="shared" si="4"/>
        <v>0</v>
      </c>
      <c r="J23" s="128">
        <f t="shared" si="4"/>
        <v>0</v>
      </c>
      <c r="K23" s="128">
        <f t="shared" si="4"/>
        <v>0</v>
      </c>
      <c r="L23" s="128">
        <f t="shared" si="4"/>
        <v>0</v>
      </c>
      <c r="M23" s="128">
        <f t="shared" si="4"/>
        <v>0</v>
      </c>
      <c r="N23" s="128">
        <f t="shared" si="4"/>
        <v>0</v>
      </c>
      <c r="O23" s="128">
        <f t="shared" si="4"/>
        <v>0</v>
      </c>
      <c r="P23" s="128">
        <f t="shared" si="4"/>
        <v>0</v>
      </c>
      <c r="Q23" s="128">
        <f t="shared" si="4"/>
        <v>0</v>
      </c>
      <c r="R23" s="128">
        <f t="shared" si="4"/>
        <v>0</v>
      </c>
      <c r="S23" s="599"/>
      <c r="T23" s="600"/>
      <c r="U23" s="600"/>
      <c r="V23" s="600"/>
      <c r="W23" s="600"/>
      <c r="X23" s="600"/>
      <c r="Y23" s="600"/>
      <c r="Z23" s="600"/>
      <c r="AE23" s="150">
        <f>IF(AND(2&lt;$AG$1,$AG$1&lt;6),T7,"")</f>
      </c>
      <c r="AF23" s="88">
        <f>IF(AND(2&lt;$AG$1,$AG$1&lt;6),+C7,"")</f>
      </c>
      <c r="AG23" s="97"/>
      <c r="AH23" s="97">
        <f>IF(AND(2&lt;$AG$1,$AG$1&lt;6,1&lt;$AI$4),HLOOKUP($AI$4-1,$D$29:$R$36,8),IF(AND(2&lt;$AG$1,$AG$1&lt;6,$AI$4=1),HLOOKUP($AI$4+11,$D$29:$R$36,8),""))</f>
      </c>
      <c r="AI23" s="530"/>
      <c r="AJ23" s="531"/>
      <c r="AK23" s="97"/>
      <c r="AL23" s="98"/>
      <c r="AM23" s="100"/>
      <c r="AN23" s="101"/>
      <c r="AO23" s="552">
        <f>IF(AD7="","",IF(((AL24*0.004)-INT(AL24*0.004))=0.5,ROUNDDOWN(AL24*0.004,0),ROUND(AL24*0.004,0)))</f>
      </c>
      <c r="AP23" s="553"/>
      <c r="AQ23" s="102"/>
      <c r="AR23" s="99"/>
      <c r="AS23" s="572"/>
      <c r="AT23" s="169">
        <f>IF(AND(2&lt;$AG$1,$AG$1&lt;6,AH23&gt;0),+S7,"")</f>
      </c>
      <c r="AU23" s="163">
        <f>IF(AND(2&lt;$AG$1,$AG$1&lt;6,AH23&gt;0),"×","")</f>
      </c>
      <c r="AV23" s="172">
        <f>IF(AND(2&lt;$AG$1,$AG$1&lt;6,AH23&gt;0,1&lt;$AI$4),HLOOKUP($AI$4-1,$D$29:$O$36,6),IF(AND(2&lt;$AG$1,$AG$1&lt;6,AH23&gt;0,$AI$4=1),HLOOKUP($AI$4+11,$D$29:$O$36,6),""))</f>
      </c>
    </row>
    <row r="24" spans="1:48" ht="12.75" customHeight="1">
      <c r="A24" s="119"/>
      <c r="B24" s="130" t="s">
        <v>134</v>
      </c>
      <c r="C24" s="132" t="s">
        <v>131</v>
      </c>
      <c r="D24" s="132" t="str">
        <f t="shared" si="3"/>
        <v>日数</v>
      </c>
      <c r="E24" s="132" t="str">
        <f t="shared" si="3"/>
        <v>日数</v>
      </c>
      <c r="F24" s="132" t="str">
        <f t="shared" si="3"/>
        <v>日数</v>
      </c>
      <c r="G24" s="125" t="s">
        <v>127</v>
      </c>
      <c r="H24" s="125" t="s">
        <v>127</v>
      </c>
      <c r="I24" s="125" t="s">
        <v>127</v>
      </c>
      <c r="J24" s="125" t="s">
        <v>127</v>
      </c>
      <c r="K24" s="125" t="s">
        <v>127</v>
      </c>
      <c r="L24" s="125" t="s">
        <v>127</v>
      </c>
      <c r="M24" s="125" t="s">
        <v>127</v>
      </c>
      <c r="N24" s="125" t="s">
        <v>127</v>
      </c>
      <c r="O24" s="125" t="s">
        <v>127</v>
      </c>
      <c r="P24" s="125" t="s">
        <v>127</v>
      </c>
      <c r="Q24" s="125" t="s">
        <v>127</v>
      </c>
      <c r="R24" s="125" t="s">
        <v>127</v>
      </c>
      <c r="AE24" s="150"/>
      <c r="AF24" s="80"/>
      <c r="AG24" s="103"/>
      <c r="AH24" s="97">
        <f>IF(AND(2&lt;$AG$1,$AG$1&lt;6,1&lt;$AI$4),HLOOKUP($AI$4-1,$D$29:$R$36,4),IF(AND(2&lt;$AG$1,$AG$1&lt;6,$AI$4=1),HLOOKUP($AI$4+11,$D$29:$R$36,4),""))</f>
      </c>
      <c r="AI24" s="530"/>
      <c r="AJ24" s="531"/>
      <c r="AK24" s="103"/>
      <c r="AL24" s="532">
        <f>SUM(AG21:AK24)</f>
        <v>0</v>
      </c>
      <c r="AM24" s="533"/>
      <c r="AN24" s="105">
        <f>IF(AG1&gt;2,IF((AH24-SUM(AO22:AP24))&lt;88000,INT((AH24-SUM(AO22:AP24))*0.03063),VLOOKUP((AH24-SUM(AO22:AP24)),'税額表'!$B$3:$C$118,2,TRUE)),"")</f>
      </c>
      <c r="AO24" s="552"/>
      <c r="AP24" s="553"/>
      <c r="AQ24" s="106">
        <f>SUM(AN21:AP24)</f>
        <v>0</v>
      </c>
      <c r="AR24" s="107">
        <f>IF(AG1&gt;2,+AL24-AQ24,"")</f>
      </c>
      <c r="AS24" s="573"/>
      <c r="AT24" s="169">
        <f>IF(AND(2&lt;$AG$1,$AG$1&lt;6),+H7,"")</f>
      </c>
      <c r="AU24" s="163">
        <f>IF(AND(2&lt;$AG$1,$AG$1&lt;6),"×","")</f>
      </c>
      <c r="AV24" s="173">
        <f>IF(AND(2&lt;$AG$1,$AG$1&lt;6,AH24&gt;0,1&lt;$AI$4),HLOOKUP($AI$4-1,$D$29:$O$36,3),IF(AND(2&lt;$AG$1,$AG$1&lt;6,AH24&gt;0,$AI$4=1),HLOOKUP($AI$4+11,$D$29:$O$36,3),""))</f>
      </c>
    </row>
    <row r="25" spans="1:48" ht="12.75" customHeight="1">
      <c r="A25" s="115"/>
      <c r="B25" s="131"/>
      <c r="C25" s="133">
        <f>SUM(G25:R25)</f>
        <v>0</v>
      </c>
      <c r="D25" s="133">
        <f t="shared" si="3"/>
        <v>0</v>
      </c>
      <c r="E25" s="133">
        <f t="shared" si="3"/>
        <v>0</v>
      </c>
      <c r="F25" s="133">
        <f t="shared" si="3"/>
        <v>0</v>
      </c>
      <c r="G25" s="217"/>
      <c r="H25" s="217"/>
      <c r="I25" s="217"/>
      <c r="J25" s="217"/>
      <c r="K25" s="217"/>
      <c r="L25" s="217"/>
      <c r="M25" s="217"/>
      <c r="N25" s="217"/>
      <c r="O25" s="217"/>
      <c r="P25" s="217"/>
      <c r="Q25" s="217"/>
      <c r="R25" s="217"/>
      <c r="AE25" s="149"/>
      <c r="AF25" s="86"/>
      <c r="AG25" s="91"/>
      <c r="AH25" s="91"/>
      <c r="AI25" s="544"/>
      <c r="AJ25" s="545"/>
      <c r="AK25" s="91"/>
      <c r="AL25" s="92"/>
      <c r="AM25" s="94"/>
      <c r="AN25" s="95"/>
      <c r="AO25" s="544"/>
      <c r="AP25" s="545"/>
      <c r="AQ25" s="96"/>
      <c r="AR25" s="93"/>
      <c r="AS25" s="1"/>
      <c r="AT25" s="159"/>
      <c r="AU25" s="160"/>
      <c r="AV25" s="165"/>
    </row>
    <row r="26" spans="1:48" ht="12.75" customHeight="1">
      <c r="A26" s="146"/>
      <c r="B26" s="127"/>
      <c r="C26" s="176" t="s">
        <v>150</v>
      </c>
      <c r="D26" s="176">
        <f t="shared" si="3"/>
        <v>0</v>
      </c>
      <c r="E26" s="176">
        <f t="shared" si="3"/>
        <v>0</v>
      </c>
      <c r="F26" s="176">
        <f t="shared" si="3"/>
        <v>0</v>
      </c>
      <c r="G26" s="218"/>
      <c r="H26" s="218"/>
      <c r="I26" s="218"/>
      <c r="J26" s="218"/>
      <c r="K26" s="218"/>
      <c r="L26" s="218"/>
      <c r="M26" s="218"/>
      <c r="N26" s="218"/>
      <c r="O26" s="218"/>
      <c r="P26" s="218"/>
      <c r="Q26" s="218"/>
      <c r="R26" s="218"/>
      <c r="S26" s="58" t="s">
        <v>154</v>
      </c>
      <c r="T26" s="202"/>
      <c r="U26" s="203"/>
      <c r="V26" s="202"/>
      <c r="W26" s="203"/>
      <c r="X26" s="203"/>
      <c r="AE26" s="150"/>
      <c r="AF26" s="117"/>
      <c r="AG26" s="97"/>
      <c r="AH26" s="97"/>
      <c r="AI26" s="530"/>
      <c r="AJ26" s="531"/>
      <c r="AK26" s="97"/>
      <c r="AL26" s="98"/>
      <c r="AM26" s="100"/>
      <c r="AN26" s="101"/>
      <c r="AO26" s="530"/>
      <c r="AP26" s="531"/>
      <c r="AQ26" s="102"/>
      <c r="AR26" s="99"/>
      <c r="AS26" s="3"/>
      <c r="AT26" s="168"/>
      <c r="AU26" s="163"/>
      <c r="AV26" s="171"/>
    </row>
    <row r="27" spans="2:48" ht="12.75" customHeight="1">
      <c r="B27" s="128"/>
      <c r="C27" s="134">
        <f>SUM(G27:R27)</f>
        <v>0</v>
      </c>
      <c r="D27" s="134">
        <f t="shared" si="3"/>
        <v>0</v>
      </c>
      <c r="E27" s="134">
        <f t="shared" si="3"/>
        <v>0</v>
      </c>
      <c r="F27" s="134">
        <f t="shared" si="3"/>
        <v>0</v>
      </c>
      <c r="G27" s="128">
        <f aca="true" t="shared" si="5" ref="G27:R27">IF(G26=1,+$S$6*G25,0)</f>
        <v>0</v>
      </c>
      <c r="H27" s="128">
        <f t="shared" si="5"/>
        <v>0</v>
      </c>
      <c r="I27" s="128">
        <f t="shared" si="5"/>
        <v>0</v>
      </c>
      <c r="J27" s="128">
        <f t="shared" si="5"/>
        <v>0</v>
      </c>
      <c r="K27" s="128">
        <f t="shared" si="5"/>
        <v>0</v>
      </c>
      <c r="L27" s="128">
        <f t="shared" si="5"/>
        <v>0</v>
      </c>
      <c r="M27" s="128">
        <f t="shared" si="5"/>
        <v>0</v>
      </c>
      <c r="N27" s="128">
        <f t="shared" si="5"/>
        <v>0</v>
      </c>
      <c r="O27" s="128">
        <f t="shared" si="5"/>
        <v>0</v>
      </c>
      <c r="P27" s="128">
        <f t="shared" si="5"/>
        <v>0</v>
      </c>
      <c r="Q27" s="128">
        <f t="shared" si="5"/>
        <v>0</v>
      </c>
      <c r="R27" s="128">
        <f t="shared" si="5"/>
        <v>0</v>
      </c>
      <c r="AE27" s="150"/>
      <c r="AF27" s="88"/>
      <c r="AG27" s="97"/>
      <c r="AH27" s="97"/>
      <c r="AI27" s="530"/>
      <c r="AJ27" s="531"/>
      <c r="AK27" s="97"/>
      <c r="AL27" s="98"/>
      <c r="AM27" s="100"/>
      <c r="AN27" s="101"/>
      <c r="AO27" s="530"/>
      <c r="AP27" s="531"/>
      <c r="AQ27" s="102"/>
      <c r="AR27" s="99"/>
      <c r="AS27" s="3"/>
      <c r="AT27" s="169"/>
      <c r="AU27" s="163"/>
      <c r="AV27" s="172"/>
    </row>
    <row r="28" spans="31:48" ht="12.75" customHeight="1">
      <c r="AE28" s="150"/>
      <c r="AF28" s="80"/>
      <c r="AG28" s="103"/>
      <c r="AH28" s="97"/>
      <c r="AI28" s="532"/>
      <c r="AJ28" s="540"/>
      <c r="AK28" s="103"/>
      <c r="AL28" s="532"/>
      <c r="AM28" s="533"/>
      <c r="AN28" s="108"/>
      <c r="AO28" s="532"/>
      <c r="AP28" s="540"/>
      <c r="AQ28" s="106"/>
      <c r="AR28" s="107"/>
      <c r="AS28" s="2"/>
      <c r="AT28" s="170"/>
      <c r="AU28" s="164"/>
      <c r="AV28" s="174"/>
    </row>
    <row r="29" spans="2:48" ht="12.75" customHeight="1">
      <c r="B29" s="123" t="s">
        <v>157</v>
      </c>
      <c r="C29" s="141" t="s">
        <v>125</v>
      </c>
      <c r="D29" s="141">
        <f aca="true" t="shared" si="6" ref="D29:F36">P29</f>
        <v>1</v>
      </c>
      <c r="E29" s="141">
        <f t="shared" si="6"/>
        <v>2</v>
      </c>
      <c r="F29" s="141">
        <f t="shared" si="6"/>
        <v>3</v>
      </c>
      <c r="G29" s="124">
        <v>4</v>
      </c>
      <c r="H29" s="124">
        <v>5</v>
      </c>
      <c r="I29" s="124">
        <v>6</v>
      </c>
      <c r="J29" s="124">
        <v>7</v>
      </c>
      <c r="K29" s="124">
        <v>8</v>
      </c>
      <c r="L29" s="124">
        <v>9</v>
      </c>
      <c r="M29" s="124">
        <v>10</v>
      </c>
      <c r="N29" s="124">
        <v>11</v>
      </c>
      <c r="O29" s="124">
        <v>12</v>
      </c>
      <c r="P29" s="124">
        <v>1</v>
      </c>
      <c r="Q29" s="124">
        <v>2</v>
      </c>
      <c r="R29" s="124">
        <v>3</v>
      </c>
      <c r="AE29" s="149"/>
      <c r="AF29" s="86"/>
      <c r="AG29" s="91"/>
      <c r="AH29" s="91"/>
      <c r="AI29" s="544"/>
      <c r="AJ29" s="545"/>
      <c r="AK29" s="91"/>
      <c r="AL29" s="92"/>
      <c r="AM29" s="94"/>
      <c r="AN29" s="95"/>
      <c r="AO29" s="544"/>
      <c r="AP29" s="545"/>
      <c r="AQ29" s="96"/>
      <c r="AR29" s="93"/>
      <c r="AS29" s="1"/>
      <c r="AT29" s="159"/>
      <c r="AU29" s="160"/>
      <c r="AV29" s="165"/>
    </row>
    <row r="30" spans="2:48" ht="12.75" customHeight="1">
      <c r="B30" s="125" t="s">
        <v>133</v>
      </c>
      <c r="C30" s="125" t="s">
        <v>132</v>
      </c>
      <c r="D30" s="125" t="str">
        <f t="shared" si="6"/>
        <v>時数</v>
      </c>
      <c r="E30" s="125" t="str">
        <f t="shared" si="6"/>
        <v>時数</v>
      </c>
      <c r="F30" s="125" t="str">
        <f t="shared" si="6"/>
        <v>時数</v>
      </c>
      <c r="G30" s="125" t="s">
        <v>130</v>
      </c>
      <c r="H30" s="125" t="s">
        <v>130</v>
      </c>
      <c r="I30" s="125" t="s">
        <v>130</v>
      </c>
      <c r="J30" s="125" t="s">
        <v>130</v>
      </c>
      <c r="K30" s="125" t="s">
        <v>130</v>
      </c>
      <c r="L30" s="125" t="s">
        <v>130</v>
      </c>
      <c r="M30" s="125" t="s">
        <v>130</v>
      </c>
      <c r="N30" s="125" t="s">
        <v>130</v>
      </c>
      <c r="O30" s="125" t="s">
        <v>130</v>
      </c>
      <c r="P30" s="125" t="s">
        <v>130</v>
      </c>
      <c r="Q30" s="125" t="s">
        <v>130</v>
      </c>
      <c r="R30" s="125" t="s">
        <v>130</v>
      </c>
      <c r="AE30" s="150"/>
      <c r="AF30" s="117"/>
      <c r="AG30" s="97"/>
      <c r="AH30" s="97"/>
      <c r="AI30" s="530"/>
      <c r="AJ30" s="531"/>
      <c r="AK30" s="97"/>
      <c r="AL30" s="98"/>
      <c r="AM30" s="100"/>
      <c r="AN30" s="101"/>
      <c r="AO30" s="530"/>
      <c r="AP30" s="531"/>
      <c r="AQ30" s="102"/>
      <c r="AR30" s="99"/>
      <c r="AS30" s="3"/>
      <c r="AT30" s="168"/>
      <c r="AU30" s="163"/>
      <c r="AV30" s="171"/>
    </row>
    <row r="31" spans="2:48" ht="12.75" customHeight="1">
      <c r="B31" s="126">
        <f>+P7</f>
        <v>0</v>
      </c>
      <c r="C31" s="127">
        <f>SUM(G31:R31)</f>
        <v>0</v>
      </c>
      <c r="D31" s="127">
        <f t="shared" si="6"/>
        <v>0</v>
      </c>
      <c r="E31" s="127">
        <f t="shared" si="6"/>
        <v>0</v>
      </c>
      <c r="F31" s="127">
        <f t="shared" si="6"/>
        <v>0</v>
      </c>
      <c r="G31" s="217"/>
      <c r="H31" s="217"/>
      <c r="I31" s="217"/>
      <c r="J31" s="217"/>
      <c r="K31" s="217"/>
      <c r="L31" s="217"/>
      <c r="M31" s="217"/>
      <c r="N31" s="217"/>
      <c r="O31" s="217"/>
      <c r="P31" s="217"/>
      <c r="Q31" s="217"/>
      <c r="R31" s="217"/>
      <c r="S31" s="599" t="e">
        <f>IF(AND((Q7/P7)&gt;0.8,(Q7/P7)&lt;=0.9),"予算残が２０％以下になっています",IF(AND((Q7/P7)&gt;0.9,(Q7/P7)&lt;1),"予算残が１０％以下になっています",IF(Q7&gt;P7,"予算を超えています","")))</f>
        <v>#DIV/0!</v>
      </c>
      <c r="T31" s="600"/>
      <c r="U31" s="600"/>
      <c r="V31" s="600"/>
      <c r="W31" s="600"/>
      <c r="X31" s="600"/>
      <c r="Y31" s="600"/>
      <c r="Z31" s="600"/>
      <c r="AE31" s="150"/>
      <c r="AF31" s="88"/>
      <c r="AG31" s="97"/>
      <c r="AH31" s="97"/>
      <c r="AI31" s="530"/>
      <c r="AJ31" s="531"/>
      <c r="AK31" s="97"/>
      <c r="AL31" s="98"/>
      <c r="AM31" s="100"/>
      <c r="AN31" s="101"/>
      <c r="AO31" s="530"/>
      <c r="AP31" s="531"/>
      <c r="AQ31" s="102"/>
      <c r="AR31" s="99"/>
      <c r="AS31" s="3"/>
      <c r="AT31" s="169"/>
      <c r="AU31" s="163"/>
      <c r="AV31" s="172"/>
    </row>
    <row r="32" spans="2:48" ht="12.75" customHeight="1">
      <c r="B32" s="128">
        <f>+J7</f>
        <v>0</v>
      </c>
      <c r="C32" s="129">
        <f>SUM(G32:R32)</f>
        <v>0</v>
      </c>
      <c r="D32" s="129">
        <f t="shared" si="6"/>
        <v>0</v>
      </c>
      <c r="E32" s="129">
        <f t="shared" si="6"/>
        <v>0</v>
      </c>
      <c r="F32" s="129">
        <f t="shared" si="6"/>
        <v>0</v>
      </c>
      <c r="G32" s="128">
        <f aca="true" t="shared" si="7" ref="G32:R32">+$H$7*G31</f>
        <v>0</v>
      </c>
      <c r="H32" s="128">
        <f t="shared" si="7"/>
        <v>0</v>
      </c>
      <c r="I32" s="128">
        <f t="shared" si="7"/>
        <v>0</v>
      </c>
      <c r="J32" s="128">
        <f t="shared" si="7"/>
        <v>0</v>
      </c>
      <c r="K32" s="128">
        <f t="shared" si="7"/>
        <v>0</v>
      </c>
      <c r="L32" s="128">
        <f t="shared" si="7"/>
        <v>0</v>
      </c>
      <c r="M32" s="128">
        <f t="shared" si="7"/>
        <v>0</v>
      </c>
      <c r="N32" s="128">
        <f t="shared" si="7"/>
        <v>0</v>
      </c>
      <c r="O32" s="128">
        <f t="shared" si="7"/>
        <v>0</v>
      </c>
      <c r="P32" s="128">
        <f t="shared" si="7"/>
        <v>0</v>
      </c>
      <c r="Q32" s="128">
        <f t="shared" si="7"/>
        <v>0</v>
      </c>
      <c r="R32" s="128">
        <f t="shared" si="7"/>
        <v>0</v>
      </c>
      <c r="S32" s="599"/>
      <c r="T32" s="600"/>
      <c r="U32" s="600"/>
      <c r="V32" s="600"/>
      <c r="W32" s="600"/>
      <c r="X32" s="600"/>
      <c r="Y32" s="600"/>
      <c r="Z32" s="600"/>
      <c r="AE32" s="151"/>
      <c r="AF32" s="80"/>
      <c r="AG32" s="103"/>
      <c r="AH32" s="103"/>
      <c r="AI32" s="532"/>
      <c r="AJ32" s="540"/>
      <c r="AK32" s="103"/>
      <c r="AL32" s="532"/>
      <c r="AM32" s="533"/>
      <c r="AN32" s="108"/>
      <c r="AO32" s="532"/>
      <c r="AP32" s="540"/>
      <c r="AQ32" s="106"/>
      <c r="AR32" s="107"/>
      <c r="AS32" s="2"/>
      <c r="AT32" s="170"/>
      <c r="AU32" s="164"/>
      <c r="AV32" s="174"/>
    </row>
    <row r="33" spans="2:48" ht="12.75" customHeight="1">
      <c r="B33" s="130" t="s">
        <v>134</v>
      </c>
      <c r="C33" s="132" t="s">
        <v>131</v>
      </c>
      <c r="D33" s="132" t="str">
        <f t="shared" si="6"/>
        <v>日数</v>
      </c>
      <c r="E33" s="132" t="str">
        <f t="shared" si="6"/>
        <v>日数</v>
      </c>
      <c r="F33" s="132" t="str">
        <f t="shared" si="6"/>
        <v>日数</v>
      </c>
      <c r="G33" s="125" t="s">
        <v>127</v>
      </c>
      <c r="H33" s="125" t="s">
        <v>127</v>
      </c>
      <c r="I33" s="125" t="s">
        <v>127</v>
      </c>
      <c r="J33" s="125" t="s">
        <v>127</v>
      </c>
      <c r="K33" s="125" t="s">
        <v>127</v>
      </c>
      <c r="L33" s="125" t="s">
        <v>127</v>
      </c>
      <c r="M33" s="125" t="s">
        <v>127</v>
      </c>
      <c r="N33" s="125" t="s">
        <v>127</v>
      </c>
      <c r="O33" s="125" t="s">
        <v>127</v>
      </c>
      <c r="P33" s="125" t="s">
        <v>127</v>
      </c>
      <c r="Q33" s="125" t="s">
        <v>127</v>
      </c>
      <c r="R33" s="125" t="s">
        <v>127</v>
      </c>
      <c r="AE33" s="150"/>
      <c r="AF33" s="88"/>
      <c r="AG33" s="97"/>
      <c r="AH33" s="97"/>
      <c r="AI33" s="544"/>
      <c r="AJ33" s="545"/>
      <c r="AK33" s="97"/>
      <c r="AL33" s="98"/>
      <c r="AM33" s="100"/>
      <c r="AN33" s="101"/>
      <c r="AO33" s="544"/>
      <c r="AP33" s="545"/>
      <c r="AQ33" s="102"/>
      <c r="AR33" s="99"/>
      <c r="AS33" s="3"/>
      <c r="AT33" s="15"/>
      <c r="AU33" s="16"/>
      <c r="AV33" s="25"/>
    </row>
    <row r="34" spans="2:48" ht="12.75" customHeight="1">
      <c r="B34" s="131"/>
      <c r="C34" s="133">
        <f>SUM(G34:R34)</f>
        <v>0</v>
      </c>
      <c r="D34" s="133">
        <f t="shared" si="6"/>
        <v>0</v>
      </c>
      <c r="E34" s="133">
        <f t="shared" si="6"/>
        <v>0</v>
      </c>
      <c r="F34" s="133">
        <f t="shared" si="6"/>
        <v>0</v>
      </c>
      <c r="G34" s="217"/>
      <c r="H34" s="217"/>
      <c r="I34" s="217"/>
      <c r="J34" s="217"/>
      <c r="K34" s="217"/>
      <c r="L34" s="217"/>
      <c r="M34" s="217"/>
      <c r="N34" s="217"/>
      <c r="O34" s="217"/>
      <c r="P34" s="217"/>
      <c r="Q34" s="217"/>
      <c r="R34" s="217"/>
      <c r="AE34" s="150">
        <f>IF(AND(5&lt;$AG$1,$AG$1&lt;6),"非常勤","")</f>
      </c>
      <c r="AF34" s="88"/>
      <c r="AG34" s="97"/>
      <c r="AH34" s="97"/>
      <c r="AI34" s="530"/>
      <c r="AJ34" s="531"/>
      <c r="AK34" s="97"/>
      <c r="AL34" s="98"/>
      <c r="AM34" s="100"/>
      <c r="AN34" s="101"/>
      <c r="AO34" s="530"/>
      <c r="AP34" s="531"/>
      <c r="AQ34" s="102"/>
      <c r="AR34" s="99"/>
      <c r="AS34" s="3"/>
      <c r="AT34" s="15"/>
      <c r="AU34" s="16"/>
      <c r="AV34" s="25"/>
    </row>
    <row r="35" spans="2:48" ht="12.75" customHeight="1">
      <c r="B35" s="127"/>
      <c r="C35" s="176" t="s">
        <v>150</v>
      </c>
      <c r="D35" s="176">
        <f t="shared" si="6"/>
        <v>0</v>
      </c>
      <c r="E35" s="176">
        <f t="shared" si="6"/>
        <v>0</v>
      </c>
      <c r="F35" s="176">
        <f t="shared" si="6"/>
        <v>0</v>
      </c>
      <c r="G35" s="218"/>
      <c r="H35" s="218"/>
      <c r="I35" s="218"/>
      <c r="J35" s="218"/>
      <c r="K35" s="218"/>
      <c r="L35" s="218"/>
      <c r="M35" s="218"/>
      <c r="N35" s="218"/>
      <c r="O35" s="218"/>
      <c r="P35" s="218"/>
      <c r="Q35" s="218"/>
      <c r="R35" s="218"/>
      <c r="S35" s="58" t="s">
        <v>154</v>
      </c>
      <c r="T35" s="202"/>
      <c r="U35" s="203"/>
      <c r="V35" s="202"/>
      <c r="W35" s="203"/>
      <c r="X35" s="203"/>
      <c r="AE35" s="150">
        <f>IF(AND(5&lt;$AG$1,$AG$1&lt;6),"講　師","")</f>
      </c>
      <c r="AF35" s="88">
        <f>IF(AND(5&lt;$AG$1,$AG$1&lt;6),+C10,"")</f>
      </c>
      <c r="AG35" s="97"/>
      <c r="AH35" s="97">
        <f>IF(AND(5&lt;$AG$1,$AG$1&lt;6),+H10,"")</f>
      </c>
      <c r="AI35" s="530"/>
      <c r="AJ35" s="531"/>
      <c r="AK35" s="97"/>
      <c r="AL35" s="98"/>
      <c r="AM35" s="100"/>
      <c r="AN35" s="101"/>
      <c r="AO35" s="530"/>
      <c r="AP35" s="531"/>
      <c r="AQ35" s="102"/>
      <c r="AR35" s="99"/>
      <c r="AS35" s="3"/>
      <c r="AT35" s="15"/>
      <c r="AU35" s="16"/>
      <c r="AV35" s="25"/>
    </row>
    <row r="36" spans="2:48" ht="12.75" customHeight="1">
      <c r="B36" s="128"/>
      <c r="C36" s="134">
        <f>SUM(G36:R36)</f>
        <v>0</v>
      </c>
      <c r="D36" s="134">
        <f t="shared" si="6"/>
        <v>0</v>
      </c>
      <c r="E36" s="134">
        <f t="shared" si="6"/>
        <v>0</v>
      </c>
      <c r="F36" s="134">
        <f t="shared" si="6"/>
        <v>0</v>
      </c>
      <c r="G36" s="128">
        <f aca="true" t="shared" si="8" ref="G36:R36">IF(G35=1,+$S$7*G34,0)</f>
        <v>0</v>
      </c>
      <c r="H36" s="128">
        <f t="shared" si="8"/>
        <v>0</v>
      </c>
      <c r="I36" s="128">
        <f t="shared" si="8"/>
        <v>0</v>
      </c>
      <c r="J36" s="128">
        <f t="shared" si="8"/>
        <v>0</v>
      </c>
      <c r="K36" s="128">
        <f t="shared" si="8"/>
        <v>0</v>
      </c>
      <c r="L36" s="128">
        <f t="shared" si="8"/>
        <v>0</v>
      </c>
      <c r="M36" s="128">
        <f t="shared" si="8"/>
        <v>0</v>
      </c>
      <c r="N36" s="128">
        <f t="shared" si="8"/>
        <v>0</v>
      </c>
      <c r="O36" s="128">
        <f t="shared" si="8"/>
        <v>0</v>
      </c>
      <c r="P36" s="128">
        <f t="shared" si="8"/>
        <v>0</v>
      </c>
      <c r="Q36" s="128">
        <f t="shared" si="8"/>
        <v>0</v>
      </c>
      <c r="R36" s="128">
        <f t="shared" si="8"/>
        <v>0</v>
      </c>
      <c r="AE36" s="150"/>
      <c r="AF36" s="80"/>
      <c r="AG36" s="97"/>
      <c r="AH36" s="97"/>
      <c r="AI36" s="532"/>
      <c r="AJ36" s="540"/>
      <c r="AK36" s="97"/>
      <c r="AL36" s="98"/>
      <c r="AM36" s="100"/>
      <c r="AN36" s="101"/>
      <c r="AO36" s="532"/>
      <c r="AP36" s="540"/>
      <c r="AQ36" s="102"/>
      <c r="AR36" s="99"/>
      <c r="AS36" s="3"/>
      <c r="AT36" s="15"/>
      <c r="AU36" s="16"/>
      <c r="AV36" s="25"/>
    </row>
    <row r="37" spans="31:48" ht="12.75" customHeight="1">
      <c r="AE37" s="85"/>
      <c r="AF37" s="86"/>
      <c r="AG37" s="91"/>
      <c r="AH37" s="91"/>
      <c r="AI37" s="544"/>
      <c r="AJ37" s="545"/>
      <c r="AK37" s="91"/>
      <c r="AL37" s="92"/>
      <c r="AM37" s="94"/>
      <c r="AN37" s="95"/>
      <c r="AO37" s="544"/>
      <c r="AP37" s="545"/>
      <c r="AQ37" s="96"/>
      <c r="AR37" s="93"/>
      <c r="AS37" s="1"/>
      <c r="AT37" s="4"/>
      <c r="AU37" s="12"/>
      <c r="AV37" s="11"/>
    </row>
    <row r="38" spans="31:48" ht="12.75" customHeight="1">
      <c r="AE38" s="87">
        <f>IF(AND(6&lt;$AG$1,$AG$1&lt;6),"非常勤","")</f>
      </c>
      <c r="AF38" s="566"/>
      <c r="AG38" s="97"/>
      <c r="AH38" s="97"/>
      <c r="AI38" s="530"/>
      <c r="AJ38" s="531"/>
      <c r="AK38" s="97"/>
      <c r="AL38" s="98"/>
      <c r="AM38" s="100"/>
      <c r="AN38" s="101"/>
      <c r="AO38" s="530"/>
      <c r="AP38" s="531"/>
      <c r="AQ38" s="102"/>
      <c r="AR38" s="99"/>
      <c r="AS38" s="3"/>
      <c r="AT38" s="20"/>
      <c r="AU38" s="16"/>
      <c r="AV38" s="21"/>
    </row>
    <row r="39" spans="31:48" ht="12.75" customHeight="1">
      <c r="AE39" s="87">
        <f>IF(AND(6&lt;$AG$1,$AG$1&lt;6),"講　師","")</f>
      </c>
      <c r="AF39" s="567"/>
      <c r="AG39" s="97"/>
      <c r="AH39" s="97"/>
      <c r="AI39" s="530"/>
      <c r="AJ39" s="531"/>
      <c r="AK39" s="97"/>
      <c r="AL39" s="98"/>
      <c r="AM39" s="100"/>
      <c r="AN39" s="101"/>
      <c r="AO39" s="530"/>
      <c r="AP39" s="531"/>
      <c r="AQ39" s="102"/>
      <c r="AR39" s="99"/>
      <c r="AS39" s="3"/>
      <c r="AT39" s="19"/>
      <c r="AU39" s="16"/>
      <c r="AV39" s="14"/>
    </row>
    <row r="40" spans="2:48" ht="12.75" customHeight="1">
      <c r="B40" s="153"/>
      <c r="C40" s="152"/>
      <c r="D40" s="152"/>
      <c r="E40" s="152"/>
      <c r="F40" s="152"/>
      <c r="G40" s="152"/>
      <c r="H40" s="152"/>
      <c r="I40" s="152"/>
      <c r="J40" s="152"/>
      <c r="K40" s="152"/>
      <c r="L40" s="152"/>
      <c r="M40" s="152"/>
      <c r="N40" s="152"/>
      <c r="O40" s="152"/>
      <c r="P40" s="152"/>
      <c r="Q40" s="152"/>
      <c r="R40" s="152"/>
      <c r="AE40" s="79"/>
      <c r="AF40" s="80"/>
      <c r="AG40" s="103"/>
      <c r="AH40" s="103"/>
      <c r="AI40" s="532"/>
      <c r="AJ40" s="540"/>
      <c r="AK40" s="103"/>
      <c r="AL40" s="104"/>
      <c r="AM40" s="109"/>
      <c r="AN40" s="108"/>
      <c r="AO40" s="532"/>
      <c r="AP40" s="540"/>
      <c r="AQ40" s="106"/>
      <c r="AR40" s="107"/>
      <c r="AS40" s="2"/>
      <c r="AT40" s="13"/>
      <c r="AU40" s="17"/>
      <c r="AV40" s="18"/>
    </row>
    <row r="41" spans="2:48" ht="12.75" customHeight="1">
      <c r="B41" s="153"/>
      <c r="C41" s="152"/>
      <c r="D41" s="152"/>
      <c r="E41" s="152"/>
      <c r="F41" s="152"/>
      <c r="G41" s="152"/>
      <c r="H41" s="152"/>
      <c r="I41" s="152"/>
      <c r="J41" s="152"/>
      <c r="K41" s="152"/>
      <c r="L41" s="152"/>
      <c r="M41" s="152"/>
      <c r="N41" s="152"/>
      <c r="O41" s="152"/>
      <c r="P41" s="152"/>
      <c r="Q41" s="152"/>
      <c r="R41" s="152"/>
      <c r="AE41" s="85"/>
      <c r="AF41" s="86"/>
      <c r="AG41" s="91"/>
      <c r="AH41" s="91"/>
      <c r="AI41" s="544"/>
      <c r="AJ41" s="545"/>
      <c r="AK41" s="91"/>
      <c r="AL41" s="92"/>
      <c r="AM41" s="94"/>
      <c r="AN41" s="95"/>
      <c r="AO41" s="544"/>
      <c r="AP41" s="545"/>
      <c r="AQ41" s="96"/>
      <c r="AR41" s="93"/>
      <c r="AS41" s="1"/>
      <c r="AT41" s="4"/>
      <c r="AU41" s="12"/>
      <c r="AV41" s="11"/>
    </row>
    <row r="42" spans="2:48" ht="12.75" customHeight="1">
      <c r="B42" s="153"/>
      <c r="C42" s="152"/>
      <c r="D42" s="152"/>
      <c r="E42" s="152"/>
      <c r="F42" s="152"/>
      <c r="G42" s="152"/>
      <c r="H42" s="152"/>
      <c r="I42" s="152"/>
      <c r="J42" s="152"/>
      <c r="K42" s="152"/>
      <c r="L42" s="152"/>
      <c r="M42" s="152"/>
      <c r="N42" s="152"/>
      <c r="O42" s="152"/>
      <c r="P42" s="152"/>
      <c r="Q42" s="152"/>
      <c r="R42" s="152"/>
      <c r="AE42" s="87"/>
      <c r="AF42" s="566" t="s">
        <v>39</v>
      </c>
      <c r="AG42" s="97"/>
      <c r="AH42" s="97"/>
      <c r="AI42" s="530"/>
      <c r="AJ42" s="531"/>
      <c r="AK42" s="97"/>
      <c r="AL42" s="98"/>
      <c r="AM42" s="100"/>
      <c r="AN42" s="101"/>
      <c r="AO42" s="530"/>
      <c r="AP42" s="531"/>
      <c r="AQ42" s="102"/>
      <c r="AR42" s="99"/>
      <c r="AS42" s="3"/>
      <c r="AT42" s="20"/>
      <c r="AU42" s="16"/>
      <c r="AV42" s="21"/>
    </row>
    <row r="43" spans="2:48" ht="12.75" customHeight="1">
      <c r="B43" s="152"/>
      <c r="C43" s="152"/>
      <c r="D43" s="152"/>
      <c r="E43" s="152"/>
      <c r="F43" s="152"/>
      <c r="G43" s="152"/>
      <c r="H43" s="152"/>
      <c r="I43" s="152"/>
      <c r="J43" s="152"/>
      <c r="K43" s="152"/>
      <c r="L43" s="152"/>
      <c r="M43" s="152"/>
      <c r="N43" s="152"/>
      <c r="O43" s="152"/>
      <c r="P43" s="152"/>
      <c r="Q43" s="152"/>
      <c r="R43" s="152"/>
      <c r="AE43" s="87"/>
      <c r="AF43" s="567"/>
      <c r="AG43" s="97"/>
      <c r="AH43" s="97">
        <f>+IF($AG$1=1,+AH15,IF($AG$1=2,AH15+AH19,IF($AG$1=3,AH15+AH19+AH23,IF($AG$1=4,AH15+AH19+AH23+AH27,AH15+AH19+AH23+AH27+AH31))))</f>
        <v>3040</v>
      </c>
      <c r="AI43" s="530"/>
      <c r="AJ43" s="531"/>
      <c r="AK43" s="97"/>
      <c r="AL43" s="98"/>
      <c r="AM43" s="100"/>
      <c r="AN43" s="101"/>
      <c r="AO43" s="530"/>
      <c r="AP43" s="531"/>
      <c r="AQ43" s="102"/>
      <c r="AR43" s="99"/>
      <c r="AS43" s="3"/>
      <c r="AT43" s="19"/>
      <c r="AU43" s="16"/>
      <c r="AV43" s="14"/>
    </row>
    <row r="44" spans="2:48" ht="12.75" customHeight="1" thickBot="1">
      <c r="B44" s="152"/>
      <c r="C44" s="152"/>
      <c r="D44" s="152"/>
      <c r="E44" s="152"/>
      <c r="F44" s="152"/>
      <c r="G44" s="152"/>
      <c r="H44" s="152"/>
      <c r="I44" s="152"/>
      <c r="J44" s="152"/>
      <c r="K44" s="152"/>
      <c r="L44" s="152"/>
      <c r="M44" s="152"/>
      <c r="N44" s="152"/>
      <c r="O44" s="152"/>
      <c r="P44" s="152"/>
      <c r="Q44" s="152"/>
      <c r="R44" s="152"/>
      <c r="AE44" s="89"/>
      <c r="AF44" s="90"/>
      <c r="AG44" s="110"/>
      <c r="AH44" s="110">
        <f>+IF($AG$1=1,+AH16,IF($AG$1=2,AH16+AH20,IF($AG$1=3,AH16+AH20+AH24,IF($AG$1=4,AH16+AH20+AH24+AH28,AH16+AH20+AH24+AH28+AH32))))</f>
        <v>105000</v>
      </c>
      <c r="AI44" s="534"/>
      <c r="AJ44" s="543"/>
      <c r="AK44" s="110"/>
      <c r="AL44" s="534">
        <f>+IF($AG$1=1,+AL16,IF($AG$1=2,AL16+AL20,IF($AG$1=3,AL16+AL20+AL24,IF($AG$1=4,AL16+AL20+AL24+AL28,AL16+AL20+AL24+AL28+AL32))))</f>
        <v>108040</v>
      </c>
      <c r="AM44" s="535"/>
      <c r="AN44" s="112">
        <f>+IF($AG$1=1,+AN16,IF($AG$1=2,AN16+AN20,IF($AG$1=3,AN16+AN20+AN24,IF($AG$1=4,AN16+AN20+AN24+AN28,AN16+AN20+AN24+AN28+AN32))))</f>
        <v>3700</v>
      </c>
      <c r="AO44" s="534">
        <f>SUM(AO13:AO40)</f>
        <v>324</v>
      </c>
      <c r="AP44" s="543"/>
      <c r="AQ44" s="113">
        <f>+IF($AG$1=1,+AQ16,IF($AG$1=2,AQ16+AQ20,IF($AG$1=3,AQ16+AQ20+AQ24,IF($AG$1=4,AQ16+AQ20+AQ24+AQ28,AQ16+AQ20+AQ24+AQ28+AQ32))))</f>
        <v>4024</v>
      </c>
      <c r="AR44" s="111">
        <f>+IF($AG$1=1,+AR16,IF($AG$1=2,AR16+AR20,IF($AG$1=3,AR16+AR20+AR24,IF($AG$1=4,AR16+AR20+AR24+AR28,AR16+AR20+AR24+AR28+AR32))))</f>
        <v>104016</v>
      </c>
      <c r="AS44" s="6"/>
      <c r="AT44" s="26"/>
      <c r="AU44" s="27"/>
      <c r="AV44" s="28"/>
    </row>
    <row r="45" spans="2:18" ht="12">
      <c r="B45" s="152"/>
      <c r="C45" s="152"/>
      <c r="D45" s="152"/>
      <c r="E45" s="152"/>
      <c r="F45" s="152"/>
      <c r="G45" s="152"/>
      <c r="H45" s="152"/>
      <c r="I45" s="152"/>
      <c r="J45" s="152"/>
      <c r="K45" s="152"/>
      <c r="L45" s="152"/>
      <c r="M45" s="152"/>
      <c r="N45" s="152"/>
      <c r="O45" s="152"/>
      <c r="P45" s="152"/>
      <c r="Q45" s="152"/>
      <c r="R45" s="152"/>
    </row>
    <row r="46" spans="2:18" ht="12">
      <c r="B46" s="152"/>
      <c r="C46" s="152"/>
      <c r="D46" s="152"/>
      <c r="E46" s="152"/>
      <c r="F46" s="152"/>
      <c r="G46" s="152"/>
      <c r="H46" s="152"/>
      <c r="I46" s="152"/>
      <c r="J46" s="152"/>
      <c r="K46" s="152"/>
      <c r="L46" s="152"/>
      <c r="M46" s="152"/>
      <c r="N46" s="152"/>
      <c r="O46" s="152"/>
      <c r="P46" s="152"/>
      <c r="Q46" s="152"/>
      <c r="R46" s="152"/>
    </row>
    <row r="47" spans="2:39" ht="18.75">
      <c r="B47" s="152"/>
      <c r="C47" s="152"/>
      <c r="D47" s="152"/>
      <c r="E47" s="152"/>
      <c r="F47" s="152"/>
      <c r="G47" s="152"/>
      <c r="H47" s="152"/>
      <c r="I47" s="152"/>
      <c r="J47" s="152"/>
      <c r="K47" s="152"/>
      <c r="L47" s="152"/>
      <c r="M47" s="152"/>
      <c r="N47" s="152"/>
      <c r="O47" s="152"/>
      <c r="P47" s="152"/>
      <c r="Q47" s="152"/>
      <c r="R47" s="152"/>
      <c r="AF47" s="33" t="s">
        <v>0</v>
      </c>
      <c r="AG47" s="74">
        <f>+AG4</f>
        <v>30</v>
      </c>
      <c r="AH47" s="32" t="s">
        <v>1</v>
      </c>
      <c r="AI47" s="546">
        <f>+AI4</f>
        <v>4</v>
      </c>
      <c r="AJ47" s="546"/>
      <c r="AK47" s="32" t="s">
        <v>2</v>
      </c>
      <c r="AL47" s="7" t="s">
        <v>3</v>
      </c>
      <c r="AM47" s="7"/>
    </row>
    <row r="48" spans="2:45" ht="12">
      <c r="B48" s="152"/>
      <c r="C48" s="152"/>
      <c r="D48" s="152"/>
      <c r="E48" s="152"/>
      <c r="F48" s="152"/>
      <c r="G48" s="152"/>
      <c r="H48" s="152"/>
      <c r="I48" s="152"/>
      <c r="J48" s="152"/>
      <c r="K48" s="152"/>
      <c r="L48" s="152"/>
      <c r="M48" s="152"/>
      <c r="N48" s="152"/>
      <c r="O48" s="152"/>
      <c r="P48" s="152"/>
      <c r="Q48" s="152"/>
      <c r="R48" s="152"/>
      <c r="AS48" s="8" t="s">
        <v>32</v>
      </c>
    </row>
    <row r="49" spans="2:47" ht="22.5" customHeight="1">
      <c r="B49" s="152"/>
      <c r="C49" s="152"/>
      <c r="D49" s="152"/>
      <c r="E49" s="152"/>
      <c r="F49" s="152"/>
      <c r="G49" s="152"/>
      <c r="H49" s="152"/>
      <c r="I49" s="152"/>
      <c r="J49" s="152"/>
      <c r="K49" s="152"/>
      <c r="L49" s="152"/>
      <c r="M49" s="152"/>
      <c r="N49" s="152"/>
      <c r="O49" s="152"/>
      <c r="P49" s="152"/>
      <c r="Q49" s="152"/>
      <c r="R49" s="152"/>
      <c r="AN49" s="34" t="s">
        <v>31</v>
      </c>
      <c r="AO49" s="548" t="str">
        <f>+H2</f>
        <v>行橋小学校</v>
      </c>
      <c r="AP49" s="548"/>
      <c r="AQ49" s="548"/>
      <c r="AR49" s="548"/>
      <c r="AS49" s="74">
        <f>+C2</f>
        <v>1</v>
      </c>
      <c r="AU49" s="29" t="s">
        <v>50</v>
      </c>
    </row>
    <row r="50" spans="40:44" ht="12.75" customHeight="1" thickBot="1">
      <c r="AN50" s="30"/>
      <c r="AO50" s="31"/>
      <c r="AP50" s="31"/>
      <c r="AQ50" s="31"/>
      <c r="AR50" s="31"/>
    </row>
    <row r="51" spans="31:48" ht="12.75" customHeight="1">
      <c r="AE51" s="582" t="s">
        <v>9</v>
      </c>
      <c r="AF51" s="568" t="s">
        <v>13</v>
      </c>
      <c r="AG51" s="77"/>
      <c r="AH51" s="570" t="s">
        <v>10</v>
      </c>
      <c r="AI51" s="570"/>
      <c r="AJ51" s="570"/>
      <c r="AK51" s="570"/>
      <c r="AL51" s="536"/>
      <c r="AM51" s="537"/>
      <c r="AN51" s="549" t="s">
        <v>21</v>
      </c>
      <c r="AO51" s="536"/>
      <c r="AP51" s="536"/>
      <c r="AQ51" s="537"/>
      <c r="AR51" s="78" t="s">
        <v>18</v>
      </c>
      <c r="AS51" s="568" t="s">
        <v>12</v>
      </c>
      <c r="AT51" s="560" t="s">
        <v>17</v>
      </c>
      <c r="AU51" s="561"/>
      <c r="AV51" s="562"/>
    </row>
    <row r="52" spans="2:48" ht="12.75" customHeight="1">
      <c r="B52" s="153"/>
      <c r="C52" s="152"/>
      <c r="D52" s="152"/>
      <c r="E52" s="152"/>
      <c r="F52" s="152"/>
      <c r="G52" s="152"/>
      <c r="H52" s="152"/>
      <c r="I52" s="152"/>
      <c r="J52" s="152"/>
      <c r="K52" s="152"/>
      <c r="L52" s="152"/>
      <c r="M52" s="152"/>
      <c r="N52" s="152"/>
      <c r="O52" s="152"/>
      <c r="P52" s="152"/>
      <c r="Q52" s="152"/>
      <c r="R52" s="152"/>
      <c r="AE52" s="583"/>
      <c r="AF52" s="569"/>
      <c r="AG52" s="81" t="s">
        <v>14</v>
      </c>
      <c r="AH52" s="81" t="s">
        <v>15</v>
      </c>
      <c r="AI52" s="541"/>
      <c r="AJ52" s="547"/>
      <c r="AK52" s="81"/>
      <c r="AL52" s="541" t="s">
        <v>16</v>
      </c>
      <c r="AM52" s="542"/>
      <c r="AN52" s="82" t="s">
        <v>11</v>
      </c>
      <c r="AO52" s="541"/>
      <c r="AP52" s="547"/>
      <c r="AQ52" s="83" t="s">
        <v>16</v>
      </c>
      <c r="AR52" s="84" t="s">
        <v>10</v>
      </c>
      <c r="AS52" s="569"/>
      <c r="AT52" s="563"/>
      <c r="AU52" s="564"/>
      <c r="AV52" s="565"/>
    </row>
    <row r="53" spans="2:48" ht="12.75" customHeight="1">
      <c r="B53" s="153"/>
      <c r="C53" s="152"/>
      <c r="D53" s="152"/>
      <c r="E53" s="152"/>
      <c r="F53" s="152"/>
      <c r="G53" s="152"/>
      <c r="H53" s="152"/>
      <c r="I53" s="152"/>
      <c r="J53" s="152"/>
      <c r="K53" s="152"/>
      <c r="L53" s="152"/>
      <c r="M53" s="152"/>
      <c r="N53" s="152"/>
      <c r="O53" s="152"/>
      <c r="P53" s="152"/>
      <c r="Q53" s="152"/>
      <c r="R53" s="152"/>
      <c r="AE53" s="85"/>
      <c r="AF53" s="86"/>
      <c r="AG53" s="91"/>
      <c r="AH53" s="91"/>
      <c r="AI53" s="544"/>
      <c r="AJ53" s="545"/>
      <c r="AK53" s="91"/>
      <c r="AL53" s="92"/>
      <c r="AM53" s="94"/>
      <c r="AN53" s="95"/>
      <c r="AO53" s="544"/>
      <c r="AP53" s="545"/>
      <c r="AQ53" s="96"/>
      <c r="AR53" s="93"/>
      <c r="AS53" s="1"/>
      <c r="AT53" s="4" t="str">
        <f aca="true" t="shared" si="9" ref="AT53:AT72">AT13</f>
        <v>S C</v>
      </c>
      <c r="AU53" s="12"/>
      <c r="AV53" s="11"/>
    </row>
    <row r="54" spans="2:48" ht="12.75" customHeight="1">
      <c r="B54" s="153"/>
      <c r="C54" s="152"/>
      <c r="D54" s="152"/>
      <c r="E54" s="152"/>
      <c r="F54" s="152"/>
      <c r="G54" s="152"/>
      <c r="H54" s="152"/>
      <c r="I54" s="152"/>
      <c r="J54" s="152"/>
      <c r="K54" s="152"/>
      <c r="L54" s="152"/>
      <c r="M54" s="152"/>
      <c r="N54" s="152"/>
      <c r="O54" s="152"/>
      <c r="P54" s="152"/>
      <c r="Q54" s="152"/>
      <c r="R54" s="152"/>
      <c r="AE54" s="87">
        <f>AE14</f>
      </c>
      <c r="AF54" s="574" t="str">
        <f>+AF15</f>
        <v>京築　太郎</v>
      </c>
      <c r="AG54" s="97"/>
      <c r="AH54" s="97"/>
      <c r="AI54" s="530"/>
      <c r="AJ54" s="531"/>
      <c r="AK54" s="97"/>
      <c r="AL54" s="98"/>
      <c r="AM54" s="100"/>
      <c r="AN54" s="101"/>
      <c r="AO54" s="530"/>
      <c r="AP54" s="531"/>
      <c r="AQ54" s="102"/>
      <c r="AR54" s="99"/>
      <c r="AS54" s="3"/>
      <c r="AT54" s="20">
        <f t="shared" si="9"/>
        <v>40298</v>
      </c>
      <c r="AU54" s="16" t="str">
        <f aca="true" t="shared" si="10" ref="AU54:AV56">AU14</f>
        <v>～</v>
      </c>
      <c r="AV54" s="21">
        <f t="shared" si="10"/>
        <v>40379</v>
      </c>
    </row>
    <row r="55" spans="2:48" ht="12.75" customHeight="1">
      <c r="B55" s="152"/>
      <c r="C55" s="152"/>
      <c r="D55" s="152"/>
      <c r="E55" s="152"/>
      <c r="F55" s="152"/>
      <c r="G55" s="152"/>
      <c r="H55" s="152"/>
      <c r="I55" s="152"/>
      <c r="J55" s="152"/>
      <c r="K55" s="152"/>
      <c r="L55" s="152"/>
      <c r="M55" s="152"/>
      <c r="N55" s="152"/>
      <c r="O55" s="152"/>
      <c r="P55" s="152"/>
      <c r="Q55" s="152"/>
      <c r="R55" s="152"/>
      <c r="AE55" s="87" t="str">
        <f>AE15</f>
        <v>S C</v>
      </c>
      <c r="AF55" s="575"/>
      <c r="AG55" s="97"/>
      <c r="AH55" s="97">
        <f>AH15</f>
        <v>3040</v>
      </c>
      <c r="AI55" s="530"/>
      <c r="AJ55" s="531"/>
      <c r="AK55" s="97"/>
      <c r="AL55" s="98"/>
      <c r="AM55" s="100"/>
      <c r="AN55" s="101"/>
      <c r="AO55" s="530"/>
      <c r="AP55" s="531"/>
      <c r="AQ55" s="102"/>
      <c r="AR55" s="99"/>
      <c r="AS55" s="3"/>
      <c r="AT55" s="19">
        <f t="shared" si="9"/>
        <v>380</v>
      </c>
      <c r="AU55" s="16" t="str">
        <f t="shared" si="10"/>
        <v>×</v>
      </c>
      <c r="AV55" s="73">
        <f t="shared" si="10"/>
        <v>8</v>
      </c>
    </row>
    <row r="56" spans="2:48" ht="12.75" customHeight="1">
      <c r="B56" s="152"/>
      <c r="C56" s="152"/>
      <c r="D56" s="152"/>
      <c r="E56" s="152"/>
      <c r="F56" s="152"/>
      <c r="G56" s="152"/>
      <c r="H56" s="152"/>
      <c r="I56" s="152"/>
      <c r="J56" s="152"/>
      <c r="K56" s="152"/>
      <c r="L56" s="152"/>
      <c r="M56" s="152"/>
      <c r="N56" s="152"/>
      <c r="O56" s="152"/>
      <c r="P56" s="152"/>
      <c r="Q56" s="152"/>
      <c r="R56" s="152"/>
      <c r="AE56" s="87"/>
      <c r="AF56" s="80"/>
      <c r="AG56" s="103"/>
      <c r="AH56" s="103">
        <f>AH16</f>
        <v>105000</v>
      </c>
      <c r="AI56" s="530"/>
      <c r="AJ56" s="531"/>
      <c r="AK56" s="103"/>
      <c r="AL56" s="532">
        <f>AL16</f>
        <v>108040</v>
      </c>
      <c r="AM56" s="533"/>
      <c r="AN56" s="108">
        <f>AN16</f>
        <v>3700</v>
      </c>
      <c r="AO56" s="530">
        <f>AO16</f>
        <v>324</v>
      </c>
      <c r="AP56" s="531"/>
      <c r="AQ56" s="106">
        <f>AQ16</f>
        <v>4024</v>
      </c>
      <c r="AR56" s="107">
        <f>AR16</f>
        <v>104016</v>
      </c>
      <c r="AS56" s="2"/>
      <c r="AT56" s="61">
        <f t="shared" si="9"/>
        <v>5000</v>
      </c>
      <c r="AU56" s="17" t="str">
        <f t="shared" si="10"/>
        <v>×</v>
      </c>
      <c r="AV56" s="72">
        <f t="shared" si="10"/>
        <v>21</v>
      </c>
    </row>
    <row r="57" spans="31:48" ht="12.75" customHeight="1">
      <c r="AE57" s="85"/>
      <c r="AF57" s="86"/>
      <c r="AG57" s="91"/>
      <c r="AH57" s="91"/>
      <c r="AI57" s="544"/>
      <c r="AJ57" s="545"/>
      <c r="AK57" s="91"/>
      <c r="AL57" s="92"/>
      <c r="AM57" s="94"/>
      <c r="AN57" s="95"/>
      <c r="AO57" s="544"/>
      <c r="AP57" s="545"/>
      <c r="AQ57" s="96"/>
      <c r="AR57" s="93"/>
      <c r="AS57" s="1"/>
      <c r="AT57" s="4">
        <f t="shared" si="9"/>
      </c>
      <c r="AU57" s="12"/>
      <c r="AV57" s="11"/>
    </row>
    <row r="58" spans="31:48" ht="12.75" customHeight="1">
      <c r="AE58" s="87">
        <f>AE18</f>
        <v>0</v>
      </c>
      <c r="AF58" s="574">
        <f>+AF19</f>
      </c>
      <c r="AG58" s="97"/>
      <c r="AH58" s="97"/>
      <c r="AI58" s="530"/>
      <c r="AJ58" s="531"/>
      <c r="AK58" s="97"/>
      <c r="AL58" s="98"/>
      <c r="AM58" s="100"/>
      <c r="AN58" s="101"/>
      <c r="AO58" s="530"/>
      <c r="AP58" s="531"/>
      <c r="AQ58" s="102"/>
      <c r="AR58" s="99"/>
      <c r="AS58" s="3"/>
      <c r="AT58" s="20">
        <f t="shared" si="9"/>
      </c>
      <c r="AU58" s="16">
        <f aca="true" t="shared" si="11" ref="AU58:AV60">AU18</f>
      </c>
      <c r="AV58" s="21">
        <f t="shared" si="11"/>
      </c>
    </row>
    <row r="59" spans="31:48" ht="12.75" customHeight="1">
      <c r="AE59" s="87">
        <f>AE19</f>
      </c>
      <c r="AF59" s="575"/>
      <c r="AG59" s="97"/>
      <c r="AH59" s="97">
        <f>AH19</f>
      </c>
      <c r="AI59" s="530"/>
      <c r="AJ59" s="531"/>
      <c r="AK59" s="97"/>
      <c r="AL59" s="98"/>
      <c r="AM59" s="100"/>
      <c r="AN59" s="101"/>
      <c r="AO59" s="530"/>
      <c r="AP59" s="531"/>
      <c r="AQ59" s="102"/>
      <c r="AR59" s="99"/>
      <c r="AS59" s="3"/>
      <c r="AT59" s="19">
        <f t="shared" si="9"/>
      </c>
      <c r="AU59" s="16">
        <f t="shared" si="11"/>
      </c>
      <c r="AV59" s="73">
        <f t="shared" si="11"/>
      </c>
    </row>
    <row r="60" spans="1:48" ht="12.75" customHeight="1">
      <c r="A60" s="5"/>
      <c r="B60" s="153"/>
      <c r="C60" s="152"/>
      <c r="D60" s="152"/>
      <c r="E60" s="152"/>
      <c r="F60" s="152"/>
      <c r="G60" s="152"/>
      <c r="H60" s="152"/>
      <c r="I60" s="152"/>
      <c r="J60" s="152"/>
      <c r="K60" s="152"/>
      <c r="L60" s="152"/>
      <c r="M60" s="152"/>
      <c r="N60" s="152"/>
      <c r="O60" s="152"/>
      <c r="P60" s="152"/>
      <c r="Q60" s="152"/>
      <c r="R60" s="152"/>
      <c r="AE60" s="87"/>
      <c r="AF60" s="80"/>
      <c r="AG60" s="103"/>
      <c r="AH60" s="103">
        <f>AH20</f>
      </c>
      <c r="AI60" s="530"/>
      <c r="AJ60" s="531"/>
      <c r="AK60" s="103"/>
      <c r="AL60" s="532">
        <f>AL20</f>
        <v>0</v>
      </c>
      <c r="AM60" s="533"/>
      <c r="AN60" s="108">
        <f>AN20</f>
      </c>
      <c r="AO60" s="530">
        <f>AO20</f>
        <v>0</v>
      </c>
      <c r="AP60" s="531"/>
      <c r="AQ60" s="106">
        <f>AQ20</f>
        <v>0</v>
      </c>
      <c r="AR60" s="107">
        <f>AR20</f>
      </c>
      <c r="AS60" s="2"/>
      <c r="AT60" s="61">
        <f t="shared" si="9"/>
      </c>
      <c r="AU60" s="17">
        <f t="shared" si="11"/>
      </c>
      <c r="AV60" s="72">
        <f t="shared" si="11"/>
      </c>
    </row>
    <row r="61" spans="1:48" ht="12.75" customHeight="1">
      <c r="A61" s="5"/>
      <c r="B61" s="153"/>
      <c r="C61" s="152"/>
      <c r="D61" s="152"/>
      <c r="E61" s="152"/>
      <c r="F61" s="152"/>
      <c r="G61" s="152"/>
      <c r="H61" s="152"/>
      <c r="I61" s="152"/>
      <c r="J61" s="152"/>
      <c r="K61" s="152"/>
      <c r="L61" s="152"/>
      <c r="M61" s="152"/>
      <c r="N61" s="152"/>
      <c r="O61" s="152"/>
      <c r="P61" s="152"/>
      <c r="Q61" s="152"/>
      <c r="R61" s="152"/>
      <c r="AE61" s="85"/>
      <c r="AF61" s="86"/>
      <c r="AG61" s="91"/>
      <c r="AH61" s="91"/>
      <c r="AI61" s="544"/>
      <c r="AJ61" s="545"/>
      <c r="AK61" s="91"/>
      <c r="AL61" s="92"/>
      <c r="AM61" s="94"/>
      <c r="AN61" s="95"/>
      <c r="AO61" s="544"/>
      <c r="AP61" s="545"/>
      <c r="AQ61" s="96"/>
      <c r="AR61" s="93"/>
      <c r="AS61" s="1"/>
      <c r="AT61" s="4">
        <f t="shared" si="9"/>
      </c>
      <c r="AU61" s="12"/>
      <c r="AV61" s="11"/>
    </row>
    <row r="62" spans="1:48" ht="12.75" customHeight="1">
      <c r="A62" s="5"/>
      <c r="B62" s="153"/>
      <c r="C62" s="152"/>
      <c r="D62" s="152"/>
      <c r="E62" s="152"/>
      <c r="F62" s="152"/>
      <c r="G62" s="152"/>
      <c r="H62" s="152"/>
      <c r="I62" s="152"/>
      <c r="J62" s="152"/>
      <c r="K62" s="152"/>
      <c r="L62" s="152"/>
      <c r="M62" s="152"/>
      <c r="N62" s="152"/>
      <c r="O62" s="152"/>
      <c r="P62" s="152"/>
      <c r="Q62" s="152"/>
      <c r="R62" s="152"/>
      <c r="AE62" s="87">
        <f>AE22</f>
        <v>0</v>
      </c>
      <c r="AF62" s="574">
        <f>+AF23</f>
      </c>
      <c r="AG62" s="97"/>
      <c r="AH62" s="97"/>
      <c r="AI62" s="530"/>
      <c r="AJ62" s="531"/>
      <c r="AK62" s="97"/>
      <c r="AL62" s="98"/>
      <c r="AM62" s="100"/>
      <c r="AN62" s="101"/>
      <c r="AO62" s="530"/>
      <c r="AP62" s="531"/>
      <c r="AQ62" s="102"/>
      <c r="AR62" s="99"/>
      <c r="AS62" s="3"/>
      <c r="AT62" s="20">
        <f t="shared" si="9"/>
      </c>
      <c r="AU62" s="16">
        <f aca="true" t="shared" si="12" ref="AU62:AV64">AU22</f>
      </c>
      <c r="AV62" s="21">
        <f t="shared" si="12"/>
      </c>
    </row>
    <row r="63" spans="1:48" ht="12.75" customHeight="1">
      <c r="A63" s="5"/>
      <c r="B63" s="152"/>
      <c r="C63" s="152"/>
      <c r="D63" s="152"/>
      <c r="E63" s="152"/>
      <c r="F63" s="152"/>
      <c r="G63" s="152"/>
      <c r="H63" s="152"/>
      <c r="I63" s="152"/>
      <c r="J63" s="152"/>
      <c r="K63" s="152"/>
      <c r="L63" s="152"/>
      <c r="M63" s="152"/>
      <c r="N63" s="152"/>
      <c r="O63" s="152"/>
      <c r="P63" s="152"/>
      <c r="Q63" s="152"/>
      <c r="R63" s="152"/>
      <c r="AE63" s="87">
        <f>AE23</f>
      </c>
      <c r="AF63" s="575"/>
      <c r="AG63" s="97"/>
      <c r="AH63" s="97">
        <f>AH23</f>
      </c>
      <c r="AI63" s="530"/>
      <c r="AJ63" s="531"/>
      <c r="AK63" s="97"/>
      <c r="AL63" s="98"/>
      <c r="AM63" s="100"/>
      <c r="AN63" s="101"/>
      <c r="AO63" s="530"/>
      <c r="AP63" s="531"/>
      <c r="AQ63" s="102"/>
      <c r="AR63" s="99"/>
      <c r="AS63" s="3"/>
      <c r="AT63" s="19">
        <f t="shared" si="9"/>
      </c>
      <c r="AU63" s="16">
        <f t="shared" si="12"/>
      </c>
      <c r="AV63" s="73">
        <f t="shared" si="12"/>
      </c>
    </row>
    <row r="64" spans="1:48" ht="12.75" customHeight="1">
      <c r="A64" s="36"/>
      <c r="B64" s="152"/>
      <c r="C64" s="152"/>
      <c r="D64" s="152"/>
      <c r="E64" s="152"/>
      <c r="F64" s="152"/>
      <c r="G64" s="152"/>
      <c r="H64" s="152"/>
      <c r="I64" s="152"/>
      <c r="J64" s="152"/>
      <c r="K64" s="152"/>
      <c r="L64" s="152"/>
      <c r="M64" s="152"/>
      <c r="N64" s="152"/>
      <c r="O64" s="152"/>
      <c r="P64" s="152"/>
      <c r="Q64" s="152"/>
      <c r="R64" s="152"/>
      <c r="AE64" s="87"/>
      <c r="AF64" s="80"/>
      <c r="AG64" s="103"/>
      <c r="AH64" s="103">
        <f>AH24</f>
      </c>
      <c r="AI64" s="530"/>
      <c r="AJ64" s="531"/>
      <c r="AK64" s="103"/>
      <c r="AL64" s="532">
        <f>AL24</f>
        <v>0</v>
      </c>
      <c r="AM64" s="533"/>
      <c r="AN64" s="108">
        <f>AN24</f>
      </c>
      <c r="AO64" s="530">
        <f>AO24</f>
        <v>0</v>
      </c>
      <c r="AP64" s="531"/>
      <c r="AQ64" s="106">
        <f>AQ24</f>
        <v>0</v>
      </c>
      <c r="AR64" s="107">
        <f>AR24</f>
      </c>
      <c r="AS64" s="2"/>
      <c r="AT64" s="61">
        <f t="shared" si="9"/>
      </c>
      <c r="AU64" s="17">
        <f t="shared" si="12"/>
      </c>
      <c r="AV64" s="72">
        <f t="shared" si="12"/>
      </c>
    </row>
    <row r="65" spans="1:48" ht="12.75" customHeight="1">
      <c r="A65" s="36"/>
      <c r="B65" s="152"/>
      <c r="C65" s="152"/>
      <c r="D65" s="152"/>
      <c r="E65" s="152"/>
      <c r="F65" s="152"/>
      <c r="G65" s="152"/>
      <c r="H65" s="152"/>
      <c r="I65" s="152"/>
      <c r="J65" s="152"/>
      <c r="K65" s="152"/>
      <c r="L65" s="152"/>
      <c r="M65" s="152"/>
      <c r="N65" s="152"/>
      <c r="O65" s="152"/>
      <c r="P65" s="152"/>
      <c r="Q65" s="152"/>
      <c r="R65" s="152"/>
      <c r="AE65" s="85"/>
      <c r="AF65" s="86"/>
      <c r="AG65" s="91"/>
      <c r="AH65" s="91"/>
      <c r="AI65" s="544"/>
      <c r="AJ65" s="545"/>
      <c r="AK65" s="91"/>
      <c r="AL65" s="92"/>
      <c r="AM65" s="94"/>
      <c r="AN65" s="95"/>
      <c r="AO65" s="544"/>
      <c r="AP65" s="545"/>
      <c r="AQ65" s="96"/>
      <c r="AR65" s="93"/>
      <c r="AS65" s="1"/>
      <c r="AT65" s="4">
        <f t="shared" si="9"/>
        <v>0</v>
      </c>
      <c r="AU65" s="12"/>
      <c r="AV65" s="11"/>
    </row>
    <row r="66" spans="1:48" ht="12.75" customHeight="1">
      <c r="A66" s="36"/>
      <c r="B66" s="152"/>
      <c r="C66" s="152"/>
      <c r="D66" s="152"/>
      <c r="E66" s="152"/>
      <c r="F66" s="152"/>
      <c r="G66" s="152"/>
      <c r="H66" s="152"/>
      <c r="I66" s="152"/>
      <c r="J66" s="152"/>
      <c r="K66" s="152"/>
      <c r="L66" s="152"/>
      <c r="M66" s="152"/>
      <c r="N66" s="152"/>
      <c r="O66" s="152"/>
      <c r="P66" s="152"/>
      <c r="Q66" s="152"/>
      <c r="R66" s="152"/>
      <c r="AE66" s="87">
        <f>AE26</f>
        <v>0</v>
      </c>
      <c r="AF66" s="574">
        <f>+AF27</f>
        <v>0</v>
      </c>
      <c r="AG66" s="97"/>
      <c r="AH66" s="97"/>
      <c r="AI66" s="530"/>
      <c r="AJ66" s="531"/>
      <c r="AK66" s="97"/>
      <c r="AL66" s="98"/>
      <c r="AM66" s="100"/>
      <c r="AN66" s="101"/>
      <c r="AO66" s="530"/>
      <c r="AP66" s="531"/>
      <c r="AQ66" s="102"/>
      <c r="AR66" s="99"/>
      <c r="AS66" s="3"/>
      <c r="AT66" s="20">
        <f t="shared" si="9"/>
        <v>0</v>
      </c>
      <c r="AU66" s="16">
        <f aca="true" t="shared" si="13" ref="AU66:AV68">AU26</f>
        <v>0</v>
      </c>
      <c r="AV66" s="21">
        <f t="shared" si="13"/>
        <v>0</v>
      </c>
    </row>
    <row r="67" spans="1:48" ht="12.75" customHeight="1">
      <c r="A67" s="36"/>
      <c r="B67" s="152"/>
      <c r="C67" s="152"/>
      <c r="D67" s="152"/>
      <c r="E67" s="152"/>
      <c r="F67" s="152"/>
      <c r="G67" s="152"/>
      <c r="H67" s="152"/>
      <c r="I67" s="152"/>
      <c r="J67" s="152"/>
      <c r="K67" s="152"/>
      <c r="L67" s="152"/>
      <c r="M67" s="152"/>
      <c r="N67" s="152"/>
      <c r="O67" s="152"/>
      <c r="P67" s="152"/>
      <c r="Q67" s="152"/>
      <c r="R67" s="152"/>
      <c r="AE67" s="87">
        <f>AE27</f>
        <v>0</v>
      </c>
      <c r="AF67" s="575"/>
      <c r="AG67" s="97"/>
      <c r="AH67" s="97">
        <f>AH27</f>
        <v>0</v>
      </c>
      <c r="AI67" s="530"/>
      <c r="AJ67" s="531"/>
      <c r="AK67" s="97"/>
      <c r="AL67" s="98"/>
      <c r="AM67" s="100"/>
      <c r="AN67" s="101"/>
      <c r="AO67" s="530"/>
      <c r="AP67" s="531"/>
      <c r="AQ67" s="102"/>
      <c r="AR67" s="99"/>
      <c r="AS67" s="3"/>
      <c r="AT67" s="19">
        <f t="shared" si="9"/>
        <v>0</v>
      </c>
      <c r="AU67" s="16">
        <f t="shared" si="13"/>
        <v>0</v>
      </c>
      <c r="AV67" s="73">
        <f t="shared" si="13"/>
        <v>0</v>
      </c>
    </row>
    <row r="68" spans="1:48" ht="12.75" customHeight="1">
      <c r="A68" s="36"/>
      <c r="B68" s="152"/>
      <c r="C68" s="152"/>
      <c r="D68" s="152"/>
      <c r="E68" s="152"/>
      <c r="F68" s="152"/>
      <c r="G68" s="152"/>
      <c r="H68" s="152"/>
      <c r="I68" s="152"/>
      <c r="J68" s="152"/>
      <c r="K68" s="152"/>
      <c r="L68" s="152"/>
      <c r="M68" s="152"/>
      <c r="N68" s="152"/>
      <c r="O68" s="152"/>
      <c r="P68" s="152"/>
      <c r="Q68" s="152"/>
      <c r="R68" s="152"/>
      <c r="AE68" s="87"/>
      <c r="AF68" s="80"/>
      <c r="AG68" s="103"/>
      <c r="AH68" s="103">
        <f>AH28</f>
        <v>0</v>
      </c>
      <c r="AI68" s="530"/>
      <c r="AJ68" s="531"/>
      <c r="AK68" s="103"/>
      <c r="AL68" s="532">
        <f>AL28</f>
        <v>0</v>
      </c>
      <c r="AM68" s="533"/>
      <c r="AN68" s="108">
        <f>AN28</f>
        <v>0</v>
      </c>
      <c r="AO68" s="530"/>
      <c r="AP68" s="531"/>
      <c r="AQ68" s="106">
        <f>AQ28</f>
        <v>0</v>
      </c>
      <c r="AR68" s="107">
        <f>AR28</f>
        <v>0</v>
      </c>
      <c r="AS68" s="2"/>
      <c r="AT68" s="61">
        <f t="shared" si="9"/>
        <v>0</v>
      </c>
      <c r="AU68" s="17">
        <f t="shared" si="13"/>
        <v>0</v>
      </c>
      <c r="AV68" s="72">
        <f t="shared" si="13"/>
        <v>0</v>
      </c>
    </row>
    <row r="69" spans="1:48" ht="12.75" customHeight="1">
      <c r="A69" s="36"/>
      <c r="B69" s="152"/>
      <c r="C69" s="152"/>
      <c r="D69" s="152"/>
      <c r="E69" s="152"/>
      <c r="F69" s="152"/>
      <c r="G69" s="152"/>
      <c r="H69" s="152"/>
      <c r="I69" s="152"/>
      <c r="J69" s="152"/>
      <c r="K69" s="152"/>
      <c r="L69" s="152"/>
      <c r="M69" s="152"/>
      <c r="N69" s="152"/>
      <c r="O69" s="152"/>
      <c r="P69" s="152"/>
      <c r="Q69" s="152"/>
      <c r="R69" s="152"/>
      <c r="AE69" s="85"/>
      <c r="AF69" s="86"/>
      <c r="AG69" s="91"/>
      <c r="AH69" s="91"/>
      <c r="AI69" s="544"/>
      <c r="AJ69" s="545"/>
      <c r="AK69" s="91"/>
      <c r="AL69" s="92"/>
      <c r="AM69" s="94"/>
      <c r="AN69" s="95"/>
      <c r="AO69" s="544"/>
      <c r="AP69" s="545"/>
      <c r="AQ69" s="96"/>
      <c r="AR69" s="93"/>
      <c r="AS69" s="1"/>
      <c r="AT69" s="4">
        <f t="shared" si="9"/>
        <v>0</v>
      </c>
      <c r="AU69" s="12"/>
      <c r="AV69" s="11"/>
    </row>
    <row r="70" spans="1:48" ht="12.75" customHeight="1">
      <c r="A70" s="36"/>
      <c r="B70" s="152"/>
      <c r="C70" s="152"/>
      <c r="D70" s="152"/>
      <c r="E70" s="152"/>
      <c r="F70" s="152"/>
      <c r="G70" s="152"/>
      <c r="H70" s="152"/>
      <c r="I70" s="152"/>
      <c r="J70" s="152"/>
      <c r="K70" s="152"/>
      <c r="L70" s="152"/>
      <c r="M70" s="152"/>
      <c r="N70" s="152"/>
      <c r="O70" s="152"/>
      <c r="P70" s="152"/>
      <c r="Q70" s="152"/>
      <c r="R70" s="152"/>
      <c r="AE70" s="87">
        <f>AE30</f>
        <v>0</v>
      </c>
      <c r="AF70" s="574">
        <f>+AF31</f>
        <v>0</v>
      </c>
      <c r="AG70" s="97"/>
      <c r="AH70" s="97"/>
      <c r="AI70" s="530"/>
      <c r="AJ70" s="531"/>
      <c r="AK70" s="97"/>
      <c r="AL70" s="98"/>
      <c r="AM70" s="100"/>
      <c r="AN70" s="101"/>
      <c r="AO70" s="530"/>
      <c r="AP70" s="531"/>
      <c r="AQ70" s="102"/>
      <c r="AR70" s="99"/>
      <c r="AS70" s="3"/>
      <c r="AT70" s="20">
        <f t="shared" si="9"/>
        <v>0</v>
      </c>
      <c r="AU70" s="16">
        <f aca="true" t="shared" si="14" ref="AU70:AV72">AU30</f>
        <v>0</v>
      </c>
      <c r="AV70" s="21">
        <f t="shared" si="14"/>
        <v>0</v>
      </c>
    </row>
    <row r="71" spans="1:48" ht="12.75" customHeight="1">
      <c r="A71" s="5"/>
      <c r="B71" s="152"/>
      <c r="C71" s="152"/>
      <c r="D71" s="152"/>
      <c r="E71" s="152"/>
      <c r="F71" s="152"/>
      <c r="G71" s="152"/>
      <c r="H71" s="152"/>
      <c r="I71" s="152"/>
      <c r="J71" s="152"/>
      <c r="K71" s="152"/>
      <c r="L71" s="152"/>
      <c r="M71" s="152"/>
      <c r="N71" s="152"/>
      <c r="O71" s="152"/>
      <c r="P71" s="152"/>
      <c r="Q71" s="152"/>
      <c r="R71" s="152"/>
      <c r="AE71" s="87">
        <f>AE31</f>
        <v>0</v>
      </c>
      <c r="AF71" s="575"/>
      <c r="AG71" s="97"/>
      <c r="AH71" s="97">
        <f>AH31</f>
        <v>0</v>
      </c>
      <c r="AI71" s="530"/>
      <c r="AJ71" s="531"/>
      <c r="AK71" s="97"/>
      <c r="AL71" s="98"/>
      <c r="AM71" s="100"/>
      <c r="AN71" s="101"/>
      <c r="AO71" s="530"/>
      <c r="AP71" s="531"/>
      <c r="AQ71" s="102"/>
      <c r="AR71" s="99"/>
      <c r="AS71" s="3"/>
      <c r="AT71" s="19">
        <f t="shared" si="9"/>
        <v>0</v>
      </c>
      <c r="AU71" s="16">
        <f t="shared" si="14"/>
        <v>0</v>
      </c>
      <c r="AV71" s="73">
        <f t="shared" si="14"/>
        <v>0</v>
      </c>
    </row>
    <row r="72" spans="2:48" ht="12.75" customHeight="1">
      <c r="B72" s="152"/>
      <c r="C72" s="152"/>
      <c r="D72" s="152"/>
      <c r="E72" s="152"/>
      <c r="F72" s="152"/>
      <c r="G72" s="152"/>
      <c r="H72" s="152"/>
      <c r="I72" s="152"/>
      <c r="J72" s="152"/>
      <c r="K72" s="152"/>
      <c r="L72" s="152"/>
      <c r="M72" s="152"/>
      <c r="N72" s="152"/>
      <c r="O72" s="152"/>
      <c r="P72" s="152"/>
      <c r="Q72" s="152"/>
      <c r="R72" s="152"/>
      <c r="AE72" s="79"/>
      <c r="AF72" s="80"/>
      <c r="AG72" s="103"/>
      <c r="AH72" s="103">
        <f>AH32</f>
        <v>0</v>
      </c>
      <c r="AI72" s="530"/>
      <c r="AJ72" s="531"/>
      <c r="AK72" s="103"/>
      <c r="AL72" s="532">
        <f>AL32</f>
        <v>0</v>
      </c>
      <c r="AM72" s="533"/>
      <c r="AN72" s="108">
        <f>AN32</f>
        <v>0</v>
      </c>
      <c r="AO72" s="530"/>
      <c r="AP72" s="531"/>
      <c r="AQ72" s="106">
        <f>AQ32</f>
        <v>0</v>
      </c>
      <c r="AR72" s="107">
        <f>AR32</f>
        <v>0</v>
      </c>
      <c r="AS72" s="2"/>
      <c r="AT72" s="61">
        <f t="shared" si="9"/>
        <v>0</v>
      </c>
      <c r="AU72" s="17">
        <f t="shared" si="14"/>
        <v>0</v>
      </c>
      <c r="AV72" s="72">
        <f t="shared" si="14"/>
        <v>0</v>
      </c>
    </row>
    <row r="73" spans="2:48" ht="12.75" customHeight="1">
      <c r="B73" s="152"/>
      <c r="C73" s="152"/>
      <c r="D73" s="152"/>
      <c r="E73" s="152"/>
      <c r="F73" s="152"/>
      <c r="G73" s="152"/>
      <c r="H73" s="152"/>
      <c r="I73" s="152"/>
      <c r="J73" s="152"/>
      <c r="K73" s="152"/>
      <c r="L73" s="152"/>
      <c r="M73" s="152"/>
      <c r="N73" s="152"/>
      <c r="O73" s="152"/>
      <c r="P73" s="152"/>
      <c r="Q73" s="152"/>
      <c r="R73" s="152"/>
      <c r="AE73" s="87"/>
      <c r="AF73" s="88"/>
      <c r="AG73" s="97"/>
      <c r="AH73" s="97"/>
      <c r="AI73" s="544"/>
      <c r="AJ73" s="545"/>
      <c r="AK73" s="97"/>
      <c r="AL73" s="98"/>
      <c r="AM73" s="100"/>
      <c r="AN73" s="101"/>
      <c r="AO73" s="544"/>
      <c r="AP73" s="545"/>
      <c r="AQ73" s="102"/>
      <c r="AR73" s="99"/>
      <c r="AS73" s="3"/>
      <c r="AT73" s="15"/>
      <c r="AU73" s="16"/>
      <c r="AV73" s="25"/>
    </row>
    <row r="74" spans="2:48" ht="12.75" customHeight="1">
      <c r="B74" s="152"/>
      <c r="C74" s="152"/>
      <c r="D74" s="152"/>
      <c r="E74" s="152"/>
      <c r="F74" s="152"/>
      <c r="G74" s="152"/>
      <c r="H74" s="152"/>
      <c r="I74" s="152"/>
      <c r="J74" s="152"/>
      <c r="K74" s="152"/>
      <c r="L74" s="152"/>
      <c r="M74" s="152"/>
      <c r="N74" s="152"/>
      <c r="O74" s="152"/>
      <c r="P74" s="152"/>
      <c r="Q74" s="152"/>
      <c r="R74" s="152"/>
      <c r="AE74" s="87"/>
      <c r="AF74" s="88"/>
      <c r="AG74" s="97"/>
      <c r="AH74" s="97"/>
      <c r="AI74" s="530"/>
      <c r="AJ74" s="531"/>
      <c r="AK74" s="97"/>
      <c r="AL74" s="98"/>
      <c r="AM74" s="100"/>
      <c r="AN74" s="101"/>
      <c r="AO74" s="530"/>
      <c r="AP74" s="531"/>
      <c r="AQ74" s="102"/>
      <c r="AR74" s="99"/>
      <c r="AS74" s="3"/>
      <c r="AT74" s="15"/>
      <c r="AU74" s="16"/>
      <c r="AV74" s="25"/>
    </row>
    <row r="75" spans="2:48" ht="12.75" customHeight="1">
      <c r="B75" s="152"/>
      <c r="C75" s="152"/>
      <c r="D75" s="152"/>
      <c r="E75" s="152"/>
      <c r="F75" s="152"/>
      <c r="G75" s="152"/>
      <c r="H75" s="152"/>
      <c r="I75" s="152"/>
      <c r="J75" s="152"/>
      <c r="K75" s="152"/>
      <c r="L75" s="152"/>
      <c r="M75" s="152"/>
      <c r="N75" s="152"/>
      <c r="O75" s="152"/>
      <c r="P75" s="152"/>
      <c r="Q75" s="152"/>
      <c r="R75" s="152"/>
      <c r="AE75" s="87"/>
      <c r="AF75" s="88"/>
      <c r="AG75" s="97"/>
      <c r="AH75" s="97"/>
      <c r="AI75" s="530"/>
      <c r="AJ75" s="531"/>
      <c r="AK75" s="97"/>
      <c r="AL75" s="98"/>
      <c r="AM75" s="100"/>
      <c r="AN75" s="101"/>
      <c r="AO75" s="530"/>
      <c r="AP75" s="531"/>
      <c r="AQ75" s="102"/>
      <c r="AR75" s="99"/>
      <c r="AS75" s="3"/>
      <c r="AT75" s="15"/>
      <c r="AU75" s="16"/>
      <c r="AV75" s="25"/>
    </row>
    <row r="76" spans="2:48" ht="12.75" customHeight="1">
      <c r="B76" s="152"/>
      <c r="C76" s="152"/>
      <c r="D76" s="152"/>
      <c r="E76" s="152"/>
      <c r="F76" s="152"/>
      <c r="G76" s="152"/>
      <c r="H76" s="152"/>
      <c r="I76" s="152"/>
      <c r="J76" s="152"/>
      <c r="K76" s="152"/>
      <c r="L76" s="152"/>
      <c r="M76" s="152"/>
      <c r="N76" s="152"/>
      <c r="O76" s="152"/>
      <c r="P76" s="152"/>
      <c r="Q76" s="152"/>
      <c r="R76" s="152"/>
      <c r="AE76" s="87"/>
      <c r="AF76" s="88"/>
      <c r="AG76" s="97"/>
      <c r="AH76" s="97"/>
      <c r="AI76" s="530"/>
      <c r="AJ76" s="531"/>
      <c r="AK76" s="97"/>
      <c r="AL76" s="98"/>
      <c r="AM76" s="100"/>
      <c r="AN76" s="101"/>
      <c r="AO76" s="530"/>
      <c r="AP76" s="531"/>
      <c r="AQ76" s="102"/>
      <c r="AR76" s="99"/>
      <c r="AS76" s="3"/>
      <c r="AT76" s="15"/>
      <c r="AU76" s="16"/>
      <c r="AV76" s="25"/>
    </row>
    <row r="77" spans="2:48" ht="12.75" customHeight="1">
      <c r="B77" s="152"/>
      <c r="C77" s="152"/>
      <c r="D77" s="152"/>
      <c r="E77" s="152"/>
      <c r="F77" s="152"/>
      <c r="G77" s="152"/>
      <c r="H77" s="152"/>
      <c r="I77" s="152"/>
      <c r="J77" s="152"/>
      <c r="K77" s="152"/>
      <c r="L77" s="152"/>
      <c r="M77" s="152"/>
      <c r="N77" s="152"/>
      <c r="O77" s="152"/>
      <c r="P77" s="152"/>
      <c r="Q77" s="152"/>
      <c r="R77" s="152"/>
      <c r="AE77" s="85"/>
      <c r="AF77" s="86"/>
      <c r="AG77" s="91"/>
      <c r="AH77" s="91"/>
      <c r="AI77" s="544"/>
      <c r="AJ77" s="545"/>
      <c r="AK77" s="91"/>
      <c r="AL77" s="92"/>
      <c r="AM77" s="94"/>
      <c r="AN77" s="95"/>
      <c r="AO77" s="544"/>
      <c r="AP77" s="545"/>
      <c r="AQ77" s="96"/>
      <c r="AR77" s="93"/>
      <c r="AS77" s="1"/>
      <c r="AT77" s="4"/>
      <c r="AU77" s="12"/>
      <c r="AV77" s="11"/>
    </row>
    <row r="78" spans="2:48" ht="12.75" customHeight="1">
      <c r="B78" s="152"/>
      <c r="C78" s="152"/>
      <c r="D78" s="152"/>
      <c r="E78" s="152"/>
      <c r="F78" s="152"/>
      <c r="G78" s="152"/>
      <c r="H78" s="152"/>
      <c r="I78" s="152"/>
      <c r="J78" s="152"/>
      <c r="K78" s="152"/>
      <c r="L78" s="152"/>
      <c r="M78" s="152"/>
      <c r="N78" s="152"/>
      <c r="O78" s="152"/>
      <c r="P78" s="152"/>
      <c r="Q78" s="152"/>
      <c r="R78" s="152"/>
      <c r="AE78" s="87"/>
      <c r="AF78" s="566"/>
      <c r="AG78" s="97"/>
      <c r="AH78" s="97"/>
      <c r="AI78" s="530"/>
      <c r="AJ78" s="531"/>
      <c r="AK78" s="97"/>
      <c r="AL78" s="98"/>
      <c r="AM78" s="100"/>
      <c r="AN78" s="101"/>
      <c r="AO78" s="530"/>
      <c r="AP78" s="531"/>
      <c r="AQ78" s="102"/>
      <c r="AR78" s="99"/>
      <c r="AS78" s="3"/>
      <c r="AT78" s="20"/>
      <c r="AU78" s="16"/>
      <c r="AV78" s="21"/>
    </row>
    <row r="79" spans="2:48" ht="12.75" customHeight="1">
      <c r="B79" s="152"/>
      <c r="C79" s="152"/>
      <c r="D79" s="152"/>
      <c r="E79" s="152"/>
      <c r="F79" s="152"/>
      <c r="G79" s="152"/>
      <c r="H79" s="152"/>
      <c r="I79" s="152"/>
      <c r="J79" s="152"/>
      <c r="K79" s="152"/>
      <c r="L79" s="152"/>
      <c r="M79" s="152"/>
      <c r="N79" s="152"/>
      <c r="O79" s="152"/>
      <c r="P79" s="152"/>
      <c r="Q79" s="152"/>
      <c r="R79" s="152"/>
      <c r="AE79" s="87"/>
      <c r="AF79" s="567"/>
      <c r="AG79" s="97"/>
      <c r="AH79" s="97"/>
      <c r="AI79" s="530"/>
      <c r="AJ79" s="531"/>
      <c r="AK79" s="97"/>
      <c r="AL79" s="98"/>
      <c r="AM79" s="100"/>
      <c r="AN79" s="101"/>
      <c r="AO79" s="530"/>
      <c r="AP79" s="531"/>
      <c r="AQ79" s="102"/>
      <c r="AR79" s="99"/>
      <c r="AS79" s="3"/>
      <c r="AT79" s="19"/>
      <c r="AU79" s="16"/>
      <c r="AV79" s="14"/>
    </row>
    <row r="80" spans="2:48" ht="12.75" customHeight="1">
      <c r="B80" s="152"/>
      <c r="C80" s="152"/>
      <c r="D80" s="152"/>
      <c r="E80" s="152"/>
      <c r="F80" s="152"/>
      <c r="G80" s="152"/>
      <c r="H80" s="152"/>
      <c r="I80" s="152"/>
      <c r="J80" s="152"/>
      <c r="K80" s="152"/>
      <c r="L80" s="152"/>
      <c r="M80" s="152"/>
      <c r="N80" s="152"/>
      <c r="O80" s="152"/>
      <c r="P80" s="152"/>
      <c r="Q80" s="152"/>
      <c r="R80" s="152"/>
      <c r="AE80" s="79"/>
      <c r="AF80" s="80"/>
      <c r="AG80" s="103"/>
      <c r="AH80" s="103"/>
      <c r="AI80" s="530"/>
      <c r="AJ80" s="531"/>
      <c r="AK80" s="103"/>
      <c r="AL80" s="104"/>
      <c r="AM80" s="109"/>
      <c r="AN80" s="108"/>
      <c r="AO80" s="530"/>
      <c r="AP80" s="531"/>
      <c r="AQ80" s="106"/>
      <c r="AR80" s="107"/>
      <c r="AS80" s="2"/>
      <c r="AT80" s="13"/>
      <c r="AU80" s="17"/>
      <c r="AV80" s="18"/>
    </row>
    <row r="81" spans="2:48" ht="12.75" customHeight="1">
      <c r="B81" s="152"/>
      <c r="C81" s="152"/>
      <c r="D81" s="152"/>
      <c r="E81" s="152"/>
      <c r="F81" s="152"/>
      <c r="G81" s="152"/>
      <c r="H81" s="152"/>
      <c r="I81" s="152"/>
      <c r="J81" s="152"/>
      <c r="K81" s="152"/>
      <c r="L81" s="152"/>
      <c r="M81" s="152"/>
      <c r="N81" s="152"/>
      <c r="O81" s="152"/>
      <c r="P81" s="152"/>
      <c r="Q81" s="152"/>
      <c r="R81" s="152"/>
      <c r="AE81" s="85"/>
      <c r="AF81" s="86"/>
      <c r="AG81" s="91"/>
      <c r="AH81" s="91"/>
      <c r="AI81" s="544"/>
      <c r="AJ81" s="545"/>
      <c r="AK81" s="91"/>
      <c r="AL81" s="92"/>
      <c r="AM81" s="94"/>
      <c r="AN81" s="95"/>
      <c r="AO81" s="544"/>
      <c r="AP81" s="545"/>
      <c r="AQ81" s="96"/>
      <c r="AR81" s="93"/>
      <c r="AS81" s="1"/>
      <c r="AT81" s="4"/>
      <c r="AU81" s="12"/>
      <c r="AV81" s="11"/>
    </row>
    <row r="82" spans="2:48" ht="12.75" customHeight="1">
      <c r="B82" s="152"/>
      <c r="C82" s="152"/>
      <c r="D82" s="152"/>
      <c r="E82" s="152"/>
      <c r="F82" s="152"/>
      <c r="G82" s="152"/>
      <c r="H82" s="152"/>
      <c r="I82" s="152"/>
      <c r="J82" s="152"/>
      <c r="K82" s="152"/>
      <c r="L82" s="152"/>
      <c r="M82" s="152"/>
      <c r="N82" s="152"/>
      <c r="O82" s="152"/>
      <c r="P82" s="152"/>
      <c r="Q82" s="152"/>
      <c r="R82" s="152"/>
      <c r="AE82" s="87"/>
      <c r="AF82" s="566" t="s">
        <v>39</v>
      </c>
      <c r="AG82" s="97"/>
      <c r="AH82" s="97"/>
      <c r="AI82" s="530"/>
      <c r="AJ82" s="531"/>
      <c r="AK82" s="97"/>
      <c r="AL82" s="98"/>
      <c r="AM82" s="100"/>
      <c r="AN82" s="101"/>
      <c r="AO82" s="530"/>
      <c r="AP82" s="531"/>
      <c r="AQ82" s="102"/>
      <c r="AR82" s="99"/>
      <c r="AS82" s="3"/>
      <c r="AT82" s="20"/>
      <c r="AU82" s="16"/>
      <c r="AV82" s="21"/>
    </row>
    <row r="83" spans="2:48" ht="12.75" customHeight="1">
      <c r="B83" s="152"/>
      <c r="C83" s="152"/>
      <c r="D83" s="152"/>
      <c r="E83" s="152"/>
      <c r="F83" s="152"/>
      <c r="G83" s="152"/>
      <c r="H83" s="152"/>
      <c r="I83" s="152"/>
      <c r="J83" s="152"/>
      <c r="K83" s="152"/>
      <c r="L83" s="152"/>
      <c r="M83" s="152"/>
      <c r="N83" s="152"/>
      <c r="O83" s="152"/>
      <c r="P83" s="152"/>
      <c r="Q83" s="152"/>
      <c r="R83" s="152"/>
      <c r="AE83" s="87"/>
      <c r="AF83" s="567"/>
      <c r="AG83" s="97"/>
      <c r="AH83" s="97">
        <f>AH43</f>
        <v>3040</v>
      </c>
      <c r="AI83" s="530"/>
      <c r="AJ83" s="531"/>
      <c r="AK83" s="97"/>
      <c r="AL83" s="98"/>
      <c r="AM83" s="100"/>
      <c r="AN83" s="101"/>
      <c r="AO83" s="530"/>
      <c r="AP83" s="531"/>
      <c r="AQ83" s="102"/>
      <c r="AR83" s="99"/>
      <c r="AS83" s="3"/>
      <c r="AT83" s="19"/>
      <c r="AU83" s="16"/>
      <c r="AV83" s="14"/>
    </row>
    <row r="84" spans="2:48" ht="12.75" customHeight="1" thickBot="1">
      <c r="B84" s="152"/>
      <c r="C84" s="152"/>
      <c r="D84" s="152"/>
      <c r="E84" s="152"/>
      <c r="F84" s="152"/>
      <c r="G84" s="152"/>
      <c r="H84" s="152"/>
      <c r="I84" s="152"/>
      <c r="J84" s="152"/>
      <c r="K84" s="152"/>
      <c r="L84" s="152"/>
      <c r="M84" s="152"/>
      <c r="N84" s="152"/>
      <c r="O84" s="152"/>
      <c r="P84" s="152"/>
      <c r="Q84" s="152"/>
      <c r="R84" s="152"/>
      <c r="AE84" s="89"/>
      <c r="AF84" s="90"/>
      <c r="AG84" s="110"/>
      <c r="AH84" s="110">
        <f>AH44</f>
        <v>105000</v>
      </c>
      <c r="AI84" s="534"/>
      <c r="AJ84" s="543"/>
      <c r="AK84" s="110"/>
      <c r="AL84" s="534">
        <f>AL44</f>
        <v>108040</v>
      </c>
      <c r="AM84" s="535"/>
      <c r="AN84" s="112">
        <f>AN44</f>
        <v>3700</v>
      </c>
      <c r="AO84" s="534">
        <f>SUM(AO53:AO80)</f>
        <v>324</v>
      </c>
      <c r="AP84" s="543"/>
      <c r="AQ84" s="113">
        <f>AQ44</f>
        <v>4024</v>
      </c>
      <c r="AR84" s="111">
        <f>AR44</f>
        <v>104016</v>
      </c>
      <c r="AS84" s="6"/>
      <c r="AT84" s="26"/>
      <c r="AU84" s="27"/>
      <c r="AV84" s="28"/>
    </row>
    <row r="85" spans="2:85" s="36" customFormat="1" ht="12">
      <c r="B85" s="153"/>
      <c r="C85" s="153"/>
      <c r="D85" s="153"/>
      <c r="E85" s="153"/>
      <c r="F85" s="153"/>
      <c r="G85" s="153"/>
      <c r="H85" s="153"/>
      <c r="I85" s="153"/>
      <c r="J85" s="153"/>
      <c r="K85" s="153"/>
      <c r="L85" s="153"/>
      <c r="M85" s="153"/>
      <c r="N85" s="153"/>
      <c r="O85" s="153"/>
      <c r="P85" s="153"/>
      <c r="Q85" s="153"/>
      <c r="R85" s="153"/>
      <c r="U85" s="48"/>
      <c r="W85" s="48"/>
      <c r="X85" s="48"/>
      <c r="Z85" s="48"/>
      <c r="AA85" s="48"/>
      <c r="AC85" s="48"/>
      <c r="AE85" s="48"/>
      <c r="AF85" s="48"/>
      <c r="AH85" s="35"/>
      <c r="AI85" s="35"/>
      <c r="AL85" s="35"/>
      <c r="AM85" s="35"/>
      <c r="AN85" s="49"/>
      <c r="AQ85" s="49"/>
      <c r="AR85" s="35"/>
      <c r="AT85" s="40"/>
      <c r="AU85" s="16"/>
      <c r="AV85" s="50"/>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c r="BT85" s="248"/>
      <c r="BU85" s="248"/>
      <c r="BV85" s="248"/>
      <c r="BW85" s="248"/>
      <c r="BX85" s="248"/>
      <c r="BY85" s="248"/>
      <c r="BZ85" s="248"/>
      <c r="CA85" s="248"/>
      <c r="CB85" s="248"/>
      <c r="CC85" s="248"/>
      <c r="CD85" s="248"/>
      <c r="CE85" s="248"/>
      <c r="CF85" s="248"/>
      <c r="CG85" s="248"/>
    </row>
    <row r="86" spans="2:48" ht="12">
      <c r="B86" s="152"/>
      <c r="C86" s="152"/>
      <c r="D86" s="152"/>
      <c r="E86" s="152"/>
      <c r="F86" s="152"/>
      <c r="G86" s="152"/>
      <c r="H86" s="152"/>
      <c r="I86" s="152"/>
      <c r="J86" s="152"/>
      <c r="K86" s="152"/>
      <c r="L86" s="152"/>
      <c r="M86" s="152"/>
      <c r="N86" s="152"/>
      <c r="O86" s="152"/>
      <c r="P86" s="152"/>
      <c r="Q86" s="152"/>
      <c r="R86" s="152"/>
      <c r="AE86" s="48"/>
      <c r="AF86" s="48"/>
      <c r="AG86" s="36"/>
      <c r="AH86" s="35"/>
      <c r="AI86" s="35"/>
      <c r="AJ86" s="36"/>
      <c r="AK86" s="36"/>
      <c r="AL86" s="35"/>
      <c r="AM86" s="35"/>
      <c r="AN86" s="49"/>
      <c r="AO86" s="36"/>
      <c r="AP86" s="36"/>
      <c r="AQ86" s="49"/>
      <c r="AR86" s="35"/>
      <c r="AS86" s="36"/>
      <c r="AT86" s="40"/>
      <c r="AU86" s="16"/>
      <c r="AV86" s="50"/>
    </row>
    <row r="87" spans="2:48" ht="12">
      <c r="B87" s="152"/>
      <c r="C87" s="152"/>
      <c r="D87" s="152"/>
      <c r="E87" s="152"/>
      <c r="F87" s="152"/>
      <c r="G87" s="152"/>
      <c r="H87" s="152"/>
      <c r="I87" s="152"/>
      <c r="J87" s="152"/>
      <c r="K87" s="152"/>
      <c r="L87" s="152"/>
      <c r="M87" s="152"/>
      <c r="N87" s="152"/>
      <c r="O87" s="152"/>
      <c r="P87" s="152"/>
      <c r="Q87" s="152"/>
      <c r="R87" s="152"/>
      <c r="AE87" s="48"/>
      <c r="AF87" s="48"/>
      <c r="AG87" s="36"/>
      <c r="AH87" s="35"/>
      <c r="AI87" s="35"/>
      <c r="AJ87" s="36"/>
      <c r="AK87" s="36"/>
      <c r="AL87" s="35"/>
      <c r="AM87" s="35"/>
      <c r="AN87" s="49"/>
      <c r="AO87" s="36"/>
      <c r="AP87" s="36"/>
      <c r="AQ87" s="49"/>
      <c r="AR87" s="35"/>
      <c r="AS87" s="36"/>
      <c r="AT87" s="40"/>
      <c r="AU87" s="16"/>
      <c r="AV87" s="50"/>
    </row>
    <row r="88" spans="2:48" ht="12">
      <c r="B88" s="152"/>
      <c r="C88" s="152"/>
      <c r="D88" s="152"/>
      <c r="E88" s="152"/>
      <c r="F88" s="152"/>
      <c r="G88" s="152"/>
      <c r="H88" s="152"/>
      <c r="I88" s="152"/>
      <c r="J88" s="152"/>
      <c r="K88" s="152"/>
      <c r="L88" s="152"/>
      <c r="M88" s="152"/>
      <c r="N88" s="152"/>
      <c r="O88" s="152"/>
      <c r="P88" s="152"/>
      <c r="Q88" s="152"/>
      <c r="R88" s="152"/>
      <c r="AE88" s="10"/>
      <c r="AF88" s="10"/>
      <c r="AG88" s="44"/>
      <c r="AH88" s="45"/>
      <c r="AI88" s="45"/>
      <c r="AJ88" s="44"/>
      <c r="AK88" s="44"/>
      <c r="AL88" s="45"/>
      <c r="AM88" s="45"/>
      <c r="AN88" s="46"/>
      <c r="AO88" s="44"/>
      <c r="AP88" s="44"/>
      <c r="AQ88" s="46"/>
      <c r="AR88" s="45"/>
      <c r="AS88" s="44"/>
      <c r="AT88" s="39"/>
      <c r="AU88" s="17"/>
      <c r="AV88" s="47"/>
    </row>
    <row r="89" spans="2:48" ht="12">
      <c r="B89" s="152"/>
      <c r="C89" s="152"/>
      <c r="D89" s="152"/>
      <c r="E89" s="152"/>
      <c r="F89" s="152"/>
      <c r="G89" s="152"/>
      <c r="H89" s="152"/>
      <c r="I89" s="152"/>
      <c r="J89" s="152"/>
      <c r="K89" s="152"/>
      <c r="L89" s="152"/>
      <c r="M89" s="152"/>
      <c r="N89" s="152"/>
      <c r="O89" s="152"/>
      <c r="P89" s="152"/>
      <c r="Q89" s="152"/>
      <c r="R89" s="152"/>
      <c r="AE89" s="63" t="s">
        <v>9</v>
      </c>
      <c r="AF89" s="63" t="s">
        <v>33</v>
      </c>
      <c r="AG89" s="64" t="s">
        <v>37</v>
      </c>
      <c r="AH89" s="64" t="s">
        <v>34</v>
      </c>
      <c r="AI89" s="538"/>
      <c r="AJ89" s="539"/>
      <c r="AK89" s="64"/>
      <c r="AL89" s="65" t="s">
        <v>35</v>
      </c>
      <c r="AM89" s="67"/>
      <c r="AN89" s="68" t="s">
        <v>11</v>
      </c>
      <c r="AO89" s="538"/>
      <c r="AP89" s="539"/>
      <c r="AQ89" s="69" t="s">
        <v>35</v>
      </c>
      <c r="AR89" s="66" t="s">
        <v>36</v>
      </c>
      <c r="AS89" s="43" t="s">
        <v>38</v>
      </c>
      <c r="AT89" s="12" t="str">
        <f>$AT$53</f>
        <v>S C</v>
      </c>
      <c r="AV89" s="186">
        <f>+$AI$4-1</f>
        <v>3</v>
      </c>
    </row>
    <row r="90" spans="2:48" ht="14.25">
      <c r="B90" s="152"/>
      <c r="C90" s="152"/>
      <c r="D90" s="152"/>
      <c r="E90" s="152"/>
      <c r="F90" s="152"/>
      <c r="G90" s="152"/>
      <c r="H90" s="152"/>
      <c r="I90" s="152"/>
      <c r="J90" s="152"/>
      <c r="K90" s="152"/>
      <c r="L90" s="152"/>
      <c r="M90" s="152"/>
      <c r="N90" s="152"/>
      <c r="O90" s="152"/>
      <c r="P90" s="152"/>
      <c r="Q90" s="152"/>
      <c r="R90" s="152"/>
      <c r="AE90" s="88">
        <f>AE54</f>
      </c>
      <c r="AF90" s="574" t="str">
        <f>AF54</f>
        <v>京築　太郎</v>
      </c>
      <c r="AG90" s="97"/>
      <c r="AH90" s="97"/>
      <c r="AI90" s="530"/>
      <c r="AJ90" s="531"/>
      <c r="AK90" s="97"/>
      <c r="AL90" s="98"/>
      <c r="AM90" s="100"/>
      <c r="AN90" s="101"/>
      <c r="AO90" s="530"/>
      <c r="AP90" s="531"/>
      <c r="AQ90" s="102"/>
      <c r="AR90" s="99"/>
      <c r="AS90" s="187" t="s">
        <v>215</v>
      </c>
      <c r="AT90" s="37">
        <f aca="true" t="shared" si="15" ref="AT90:AV92">AT54</f>
        <v>40298</v>
      </c>
      <c r="AU90" s="37" t="str">
        <f t="shared" si="15"/>
        <v>～</v>
      </c>
      <c r="AV90" s="51">
        <f t="shared" si="15"/>
        <v>40379</v>
      </c>
    </row>
    <row r="91" spans="2:48" ht="14.25">
      <c r="B91" s="152"/>
      <c r="C91" s="152"/>
      <c r="D91" s="152"/>
      <c r="E91" s="152"/>
      <c r="F91" s="152"/>
      <c r="G91" s="152"/>
      <c r="H91" s="152"/>
      <c r="I91" s="152"/>
      <c r="J91" s="152"/>
      <c r="K91" s="152"/>
      <c r="L91" s="152"/>
      <c r="M91" s="152"/>
      <c r="N91" s="152"/>
      <c r="O91" s="152"/>
      <c r="P91" s="152"/>
      <c r="Q91" s="152"/>
      <c r="R91" s="152"/>
      <c r="AE91" s="88" t="str">
        <f>AE55</f>
        <v>S C</v>
      </c>
      <c r="AF91" s="575"/>
      <c r="AG91" s="97"/>
      <c r="AH91" s="97">
        <f>AH55</f>
        <v>3040</v>
      </c>
      <c r="AI91" s="530"/>
      <c r="AJ91" s="531"/>
      <c r="AK91" s="97"/>
      <c r="AL91" s="98"/>
      <c r="AM91" s="100"/>
      <c r="AN91" s="101"/>
      <c r="AO91" s="530"/>
      <c r="AP91" s="531"/>
      <c r="AQ91" s="102"/>
      <c r="AR91" s="99"/>
      <c r="AS91" s="42" t="s">
        <v>40</v>
      </c>
      <c r="AT91" s="38">
        <f t="shared" si="15"/>
        <v>380</v>
      </c>
      <c r="AU91" s="37" t="str">
        <f t="shared" si="15"/>
        <v>×</v>
      </c>
      <c r="AV91" s="70">
        <f t="shared" si="15"/>
        <v>8</v>
      </c>
    </row>
    <row r="92" spans="31:48" ht="14.25">
      <c r="AE92" s="88"/>
      <c r="AF92" s="88"/>
      <c r="AG92" s="97"/>
      <c r="AH92" s="97">
        <f>AH56</f>
        <v>105000</v>
      </c>
      <c r="AI92" s="530"/>
      <c r="AJ92" s="531"/>
      <c r="AK92" s="97"/>
      <c r="AL92" s="532">
        <f>AL56</f>
        <v>108040</v>
      </c>
      <c r="AM92" s="533"/>
      <c r="AN92" s="101">
        <f>AN56</f>
        <v>3700</v>
      </c>
      <c r="AO92" s="530">
        <f>AO16</f>
        <v>324</v>
      </c>
      <c r="AP92" s="531"/>
      <c r="AQ92" s="102">
        <f>AQ56</f>
        <v>4024</v>
      </c>
      <c r="AR92" s="99">
        <f>AR56</f>
        <v>104016</v>
      </c>
      <c r="AS92" s="42" t="s">
        <v>42</v>
      </c>
      <c r="AT92" s="38">
        <f t="shared" si="15"/>
        <v>5000</v>
      </c>
      <c r="AU92" s="37" t="str">
        <f t="shared" si="15"/>
        <v>×</v>
      </c>
      <c r="AV92" s="75">
        <f t="shared" si="15"/>
        <v>21</v>
      </c>
    </row>
    <row r="93" spans="31:48" ht="12">
      <c r="AE93" s="52"/>
      <c r="AF93" s="52"/>
      <c r="AG93" s="59"/>
      <c r="AH93" s="59"/>
      <c r="AI93" s="59"/>
      <c r="AJ93" s="59"/>
      <c r="AK93" s="59"/>
      <c r="AL93" s="59"/>
      <c r="AM93" s="59"/>
      <c r="AN93" s="59"/>
      <c r="AO93" s="59"/>
      <c r="AP93" s="59"/>
      <c r="AQ93" s="59"/>
      <c r="AR93" s="59"/>
      <c r="AS93" s="53"/>
      <c r="AT93" s="54"/>
      <c r="AU93" s="55"/>
      <c r="AV93" s="56"/>
    </row>
    <row r="94" spans="31:48" ht="12">
      <c r="AE94" s="63" t="s">
        <v>9</v>
      </c>
      <c r="AF94" s="63" t="s">
        <v>33</v>
      </c>
      <c r="AG94" s="64" t="s">
        <v>37</v>
      </c>
      <c r="AH94" s="64" t="s">
        <v>34</v>
      </c>
      <c r="AI94" s="538"/>
      <c r="AJ94" s="539"/>
      <c r="AK94" s="64"/>
      <c r="AL94" s="65" t="s">
        <v>35</v>
      </c>
      <c r="AM94" s="67"/>
      <c r="AN94" s="68" t="s">
        <v>11</v>
      </c>
      <c r="AO94" s="538"/>
      <c r="AP94" s="539"/>
      <c r="AQ94" s="69" t="s">
        <v>35</v>
      </c>
      <c r="AR94" s="66" t="s">
        <v>36</v>
      </c>
      <c r="AS94" s="43" t="s">
        <v>38</v>
      </c>
      <c r="AT94" s="12">
        <f>$AT$57</f>
      </c>
      <c r="AU94" s="12"/>
      <c r="AV94" s="186">
        <f>+$AI$4-1</f>
        <v>3</v>
      </c>
    </row>
    <row r="95" spans="31:48" ht="14.25">
      <c r="AE95" s="88">
        <f>AE58</f>
        <v>0</v>
      </c>
      <c r="AF95" s="574">
        <f>AF58</f>
      </c>
      <c r="AG95" s="97"/>
      <c r="AH95" s="97"/>
      <c r="AI95" s="530"/>
      <c r="AJ95" s="531"/>
      <c r="AK95" s="97"/>
      <c r="AL95" s="98"/>
      <c r="AM95" s="100"/>
      <c r="AN95" s="101"/>
      <c r="AO95" s="530"/>
      <c r="AP95" s="531"/>
      <c r="AQ95" s="102"/>
      <c r="AR95" s="99"/>
      <c r="AS95" s="187" t="s">
        <v>215</v>
      </c>
      <c r="AT95" s="37">
        <f aca="true" t="shared" si="16" ref="AT95:AV97">AT58</f>
      </c>
      <c r="AU95" s="37">
        <f t="shared" si="16"/>
      </c>
      <c r="AV95" s="51">
        <f t="shared" si="16"/>
      </c>
    </row>
    <row r="96" spans="31:48" ht="14.25">
      <c r="AE96" s="88">
        <f>AE59</f>
      </c>
      <c r="AF96" s="575"/>
      <c r="AG96" s="97"/>
      <c r="AH96" s="97">
        <f>AH59</f>
      </c>
      <c r="AI96" s="530"/>
      <c r="AJ96" s="531"/>
      <c r="AK96" s="97"/>
      <c r="AL96" s="98"/>
      <c r="AM96" s="100"/>
      <c r="AN96" s="101"/>
      <c r="AO96" s="530"/>
      <c r="AP96" s="531"/>
      <c r="AQ96" s="102"/>
      <c r="AR96" s="99"/>
      <c r="AS96" s="42" t="s">
        <v>40</v>
      </c>
      <c r="AT96" s="38">
        <f t="shared" si="16"/>
      </c>
      <c r="AU96" s="37">
        <f t="shared" si="16"/>
      </c>
      <c r="AV96" s="70">
        <f t="shared" si="16"/>
      </c>
    </row>
    <row r="97" spans="31:48" ht="14.25">
      <c r="AE97" s="88"/>
      <c r="AF97" s="80"/>
      <c r="AG97" s="103"/>
      <c r="AH97" s="103">
        <f>AH60</f>
      </c>
      <c r="AI97" s="530"/>
      <c r="AJ97" s="531"/>
      <c r="AK97" s="103"/>
      <c r="AL97" s="532">
        <f>AL60</f>
        <v>0</v>
      </c>
      <c r="AM97" s="533"/>
      <c r="AN97" s="108">
        <f>AN60</f>
      </c>
      <c r="AO97" s="530">
        <f>AO20</f>
        <v>0</v>
      </c>
      <c r="AP97" s="531"/>
      <c r="AQ97" s="106">
        <f>AQ60</f>
        <v>0</v>
      </c>
      <c r="AR97" s="107">
        <f>AR60</f>
      </c>
      <c r="AS97" s="42" t="s">
        <v>42</v>
      </c>
      <c r="AT97" s="62">
        <f t="shared" si="16"/>
      </c>
      <c r="AU97" s="41">
        <f t="shared" si="16"/>
      </c>
      <c r="AV97" s="71">
        <f t="shared" si="16"/>
      </c>
    </row>
    <row r="98" spans="31:48" ht="12">
      <c r="AE98" s="52"/>
      <c r="AF98" s="52"/>
      <c r="AG98" s="59"/>
      <c r="AH98" s="59"/>
      <c r="AI98" s="59"/>
      <c r="AJ98" s="59"/>
      <c r="AK98" s="59"/>
      <c r="AL98" s="59"/>
      <c r="AM98" s="59"/>
      <c r="AN98" s="59"/>
      <c r="AO98" s="59"/>
      <c r="AP98" s="59"/>
      <c r="AQ98" s="59"/>
      <c r="AR98" s="59"/>
      <c r="AS98" s="53"/>
      <c r="AT98" s="54"/>
      <c r="AU98" s="55"/>
      <c r="AV98" s="56"/>
    </row>
    <row r="99" spans="31:48" ht="12">
      <c r="AE99" s="63" t="s">
        <v>9</v>
      </c>
      <c r="AF99" s="63" t="s">
        <v>33</v>
      </c>
      <c r="AG99" s="64" t="s">
        <v>37</v>
      </c>
      <c r="AH99" s="64" t="s">
        <v>34</v>
      </c>
      <c r="AI99" s="538"/>
      <c r="AJ99" s="539"/>
      <c r="AK99" s="64"/>
      <c r="AL99" s="65" t="s">
        <v>35</v>
      </c>
      <c r="AM99" s="67"/>
      <c r="AN99" s="68" t="s">
        <v>11</v>
      </c>
      <c r="AO99" s="538"/>
      <c r="AP99" s="539"/>
      <c r="AQ99" s="69" t="s">
        <v>35</v>
      </c>
      <c r="AR99" s="66" t="s">
        <v>36</v>
      </c>
      <c r="AS99" s="43" t="s">
        <v>38</v>
      </c>
      <c r="AT99" s="12">
        <f>$AT$61</f>
      </c>
      <c r="AU99" s="12"/>
      <c r="AV99" s="186">
        <f>+$AI$4-1</f>
        <v>3</v>
      </c>
    </row>
    <row r="100" spans="31:48" ht="14.25">
      <c r="AE100" s="88">
        <f>AE62</f>
        <v>0</v>
      </c>
      <c r="AF100" s="574">
        <f>AF62</f>
      </c>
      <c r="AG100" s="97"/>
      <c r="AH100" s="97"/>
      <c r="AI100" s="530"/>
      <c r="AJ100" s="531"/>
      <c r="AK100" s="97"/>
      <c r="AL100" s="98"/>
      <c r="AM100" s="100"/>
      <c r="AN100" s="101"/>
      <c r="AO100" s="530"/>
      <c r="AP100" s="531"/>
      <c r="AQ100" s="102"/>
      <c r="AR100" s="99"/>
      <c r="AS100" s="187" t="s">
        <v>215</v>
      </c>
      <c r="AT100" s="37">
        <f aca="true" t="shared" si="17" ref="AT100:AV102">AT62</f>
      </c>
      <c r="AU100" s="37">
        <f t="shared" si="17"/>
      </c>
      <c r="AV100" s="51">
        <f t="shared" si="17"/>
      </c>
    </row>
    <row r="101" spans="31:48" ht="14.25">
      <c r="AE101" s="88">
        <f>AE63</f>
      </c>
      <c r="AF101" s="575"/>
      <c r="AG101" s="97"/>
      <c r="AH101" s="97">
        <f>AH63</f>
      </c>
      <c r="AI101" s="530"/>
      <c r="AJ101" s="531"/>
      <c r="AK101" s="97"/>
      <c r="AL101" s="98"/>
      <c r="AM101" s="100"/>
      <c r="AN101" s="101"/>
      <c r="AO101" s="530"/>
      <c r="AP101" s="531"/>
      <c r="AQ101" s="102"/>
      <c r="AR101" s="99"/>
      <c r="AS101" s="42" t="s">
        <v>40</v>
      </c>
      <c r="AT101" s="38">
        <f t="shared" si="17"/>
      </c>
      <c r="AU101" s="37">
        <f t="shared" si="17"/>
      </c>
      <c r="AV101" s="70">
        <f t="shared" si="17"/>
      </c>
    </row>
    <row r="102" spans="31:48" ht="14.25">
      <c r="AE102" s="88"/>
      <c r="AF102" s="80"/>
      <c r="AG102" s="103"/>
      <c r="AH102" s="103">
        <f>AH64</f>
      </c>
      <c r="AI102" s="530"/>
      <c r="AJ102" s="531"/>
      <c r="AK102" s="103"/>
      <c r="AL102" s="532">
        <f>AL64</f>
        <v>0</v>
      </c>
      <c r="AM102" s="533"/>
      <c r="AN102" s="108">
        <f>AN64</f>
      </c>
      <c r="AO102" s="530">
        <f>AO24</f>
        <v>0</v>
      </c>
      <c r="AP102" s="531"/>
      <c r="AQ102" s="106">
        <f>AQ64</f>
        <v>0</v>
      </c>
      <c r="AR102" s="107">
        <f>AR64</f>
      </c>
      <c r="AS102" s="42" t="s">
        <v>42</v>
      </c>
      <c r="AT102" s="62">
        <f t="shared" si="17"/>
      </c>
      <c r="AU102" s="41">
        <f t="shared" si="17"/>
      </c>
      <c r="AV102" s="71">
        <f t="shared" si="17"/>
      </c>
    </row>
    <row r="103" spans="31:48" ht="12">
      <c r="AE103" s="52"/>
      <c r="AF103" s="52"/>
      <c r="AG103" s="59"/>
      <c r="AH103" s="59"/>
      <c r="AI103" s="59"/>
      <c r="AJ103" s="59"/>
      <c r="AK103" s="59"/>
      <c r="AL103" s="59"/>
      <c r="AM103" s="59"/>
      <c r="AN103" s="59"/>
      <c r="AO103" s="59"/>
      <c r="AP103" s="59"/>
      <c r="AQ103" s="59"/>
      <c r="AR103" s="59"/>
      <c r="AS103" s="53"/>
      <c r="AT103" s="54"/>
      <c r="AU103" s="55"/>
      <c r="AV103" s="56"/>
    </row>
    <row r="104" spans="31:48" ht="12">
      <c r="AE104" s="63" t="s">
        <v>9</v>
      </c>
      <c r="AF104" s="63" t="s">
        <v>33</v>
      </c>
      <c r="AG104" s="64" t="s">
        <v>37</v>
      </c>
      <c r="AH104" s="64" t="s">
        <v>34</v>
      </c>
      <c r="AI104" s="538"/>
      <c r="AJ104" s="539"/>
      <c r="AK104" s="64"/>
      <c r="AL104" s="65" t="s">
        <v>35</v>
      </c>
      <c r="AM104" s="67"/>
      <c r="AN104" s="68" t="s">
        <v>11</v>
      </c>
      <c r="AO104" s="538"/>
      <c r="AP104" s="539"/>
      <c r="AQ104" s="69" t="s">
        <v>35</v>
      </c>
      <c r="AR104" s="66" t="s">
        <v>36</v>
      </c>
      <c r="AS104" s="43" t="s">
        <v>38</v>
      </c>
      <c r="AT104" s="12">
        <f>$AT$65</f>
        <v>0</v>
      </c>
      <c r="AU104" s="12"/>
      <c r="AV104" s="186">
        <f>+$AI$4-1</f>
        <v>3</v>
      </c>
    </row>
    <row r="105" spans="31:48" ht="14.25">
      <c r="AE105" s="88">
        <f>AE66</f>
        <v>0</v>
      </c>
      <c r="AF105" s="574">
        <f>AF66</f>
        <v>0</v>
      </c>
      <c r="AG105" s="97"/>
      <c r="AH105" s="97"/>
      <c r="AI105" s="530"/>
      <c r="AJ105" s="531"/>
      <c r="AK105" s="97"/>
      <c r="AL105" s="98"/>
      <c r="AM105" s="100"/>
      <c r="AN105" s="101"/>
      <c r="AO105" s="530"/>
      <c r="AP105" s="531"/>
      <c r="AQ105" s="102"/>
      <c r="AR105" s="99"/>
      <c r="AS105" s="187" t="s">
        <v>215</v>
      </c>
      <c r="AT105" s="37">
        <f aca="true" t="shared" si="18" ref="AT105:AV107">AT66</f>
        <v>0</v>
      </c>
      <c r="AU105" s="37">
        <f t="shared" si="18"/>
        <v>0</v>
      </c>
      <c r="AV105" s="51">
        <f t="shared" si="18"/>
        <v>0</v>
      </c>
    </row>
    <row r="106" spans="31:48" ht="14.25">
      <c r="AE106" s="88">
        <f>AE67</f>
        <v>0</v>
      </c>
      <c r="AF106" s="575"/>
      <c r="AG106" s="97"/>
      <c r="AH106" s="97">
        <f>AH67</f>
        <v>0</v>
      </c>
      <c r="AI106" s="530"/>
      <c r="AJ106" s="531"/>
      <c r="AK106" s="97"/>
      <c r="AL106" s="98"/>
      <c r="AM106" s="100"/>
      <c r="AN106" s="101"/>
      <c r="AO106" s="530"/>
      <c r="AP106" s="531"/>
      <c r="AQ106" s="102"/>
      <c r="AR106" s="99"/>
      <c r="AS106" s="42" t="s">
        <v>40</v>
      </c>
      <c r="AT106" s="38">
        <f t="shared" si="18"/>
        <v>0</v>
      </c>
      <c r="AU106" s="37">
        <f t="shared" si="18"/>
        <v>0</v>
      </c>
      <c r="AV106" s="70">
        <f t="shared" si="18"/>
        <v>0</v>
      </c>
    </row>
    <row r="107" spans="31:48" ht="14.25">
      <c r="AE107" s="88"/>
      <c r="AF107" s="80"/>
      <c r="AG107" s="103"/>
      <c r="AH107" s="103">
        <f>AH68</f>
        <v>0</v>
      </c>
      <c r="AI107" s="530"/>
      <c r="AJ107" s="531"/>
      <c r="AK107" s="103"/>
      <c r="AL107" s="532">
        <f>AL68</f>
        <v>0</v>
      </c>
      <c r="AM107" s="533"/>
      <c r="AN107" s="108">
        <f>AN68</f>
        <v>0</v>
      </c>
      <c r="AO107" s="530"/>
      <c r="AP107" s="531"/>
      <c r="AQ107" s="106">
        <f>AQ68</f>
        <v>0</v>
      </c>
      <c r="AR107" s="107">
        <f>AR68</f>
        <v>0</v>
      </c>
      <c r="AS107" s="42" t="s">
        <v>42</v>
      </c>
      <c r="AT107" s="62">
        <f t="shared" si="18"/>
        <v>0</v>
      </c>
      <c r="AU107" s="41">
        <f t="shared" si="18"/>
        <v>0</v>
      </c>
      <c r="AV107" s="71">
        <f t="shared" si="18"/>
        <v>0</v>
      </c>
    </row>
    <row r="108" spans="31:48" ht="12">
      <c r="AE108" s="52"/>
      <c r="AF108" s="52"/>
      <c r="AG108" s="59"/>
      <c r="AH108" s="59"/>
      <c r="AI108" s="59"/>
      <c r="AJ108" s="59"/>
      <c r="AK108" s="59"/>
      <c r="AL108" s="59"/>
      <c r="AM108" s="59"/>
      <c r="AN108" s="59"/>
      <c r="AO108" s="59"/>
      <c r="AP108" s="59"/>
      <c r="AQ108" s="59"/>
      <c r="AR108" s="59"/>
      <c r="AS108" s="53"/>
      <c r="AT108" s="54"/>
      <c r="AU108" s="55"/>
      <c r="AV108" s="56"/>
    </row>
    <row r="109" spans="31:48" ht="12">
      <c r="AE109" s="63" t="s">
        <v>9</v>
      </c>
      <c r="AF109" s="63" t="s">
        <v>33</v>
      </c>
      <c r="AG109" s="64" t="s">
        <v>37</v>
      </c>
      <c r="AH109" s="64" t="s">
        <v>34</v>
      </c>
      <c r="AI109" s="538"/>
      <c r="AJ109" s="539"/>
      <c r="AK109" s="64"/>
      <c r="AL109" s="65" t="s">
        <v>35</v>
      </c>
      <c r="AM109" s="67"/>
      <c r="AN109" s="68" t="s">
        <v>11</v>
      </c>
      <c r="AO109" s="538"/>
      <c r="AP109" s="539"/>
      <c r="AQ109" s="69" t="s">
        <v>35</v>
      </c>
      <c r="AR109" s="66" t="s">
        <v>36</v>
      </c>
      <c r="AS109" s="43" t="s">
        <v>38</v>
      </c>
      <c r="AT109" s="12">
        <f>$AT$69</f>
        <v>0</v>
      </c>
      <c r="AU109" s="12"/>
      <c r="AV109" s="186">
        <f>+$AI$4-1</f>
        <v>3</v>
      </c>
    </row>
    <row r="110" spans="31:48" ht="14.25">
      <c r="AE110" s="88">
        <f>AE70</f>
        <v>0</v>
      </c>
      <c r="AF110" s="574">
        <f>AF70</f>
        <v>0</v>
      </c>
      <c r="AG110" s="97"/>
      <c r="AH110" s="97"/>
      <c r="AI110" s="530"/>
      <c r="AJ110" s="531"/>
      <c r="AK110" s="97"/>
      <c r="AL110" s="98"/>
      <c r="AM110" s="100"/>
      <c r="AN110" s="101"/>
      <c r="AO110" s="530"/>
      <c r="AP110" s="531"/>
      <c r="AQ110" s="102"/>
      <c r="AR110" s="99"/>
      <c r="AS110" s="187" t="s">
        <v>215</v>
      </c>
      <c r="AT110" s="37">
        <f aca="true" t="shared" si="19" ref="AT110:AV112">AT70</f>
        <v>0</v>
      </c>
      <c r="AU110" s="37">
        <f t="shared" si="19"/>
        <v>0</v>
      </c>
      <c r="AV110" s="51">
        <f t="shared" si="19"/>
        <v>0</v>
      </c>
    </row>
    <row r="111" spans="31:48" ht="14.25">
      <c r="AE111" s="88">
        <f>AE71</f>
        <v>0</v>
      </c>
      <c r="AF111" s="575"/>
      <c r="AG111" s="97"/>
      <c r="AH111" s="97">
        <f>AH71</f>
        <v>0</v>
      </c>
      <c r="AI111" s="530"/>
      <c r="AJ111" s="531"/>
      <c r="AK111" s="97"/>
      <c r="AL111" s="98"/>
      <c r="AM111" s="100"/>
      <c r="AN111" s="101"/>
      <c r="AO111" s="530"/>
      <c r="AP111" s="531"/>
      <c r="AQ111" s="102"/>
      <c r="AR111" s="99"/>
      <c r="AS111" s="42" t="s">
        <v>40</v>
      </c>
      <c r="AT111" s="38">
        <f t="shared" si="19"/>
        <v>0</v>
      </c>
      <c r="AU111" s="37">
        <f t="shared" si="19"/>
        <v>0</v>
      </c>
      <c r="AV111" s="70">
        <f t="shared" si="19"/>
        <v>0</v>
      </c>
    </row>
    <row r="112" spans="31:48" ht="14.25">
      <c r="AE112" s="80"/>
      <c r="AF112" s="80"/>
      <c r="AG112" s="103"/>
      <c r="AH112" s="103">
        <f>AH72</f>
        <v>0</v>
      </c>
      <c r="AI112" s="532"/>
      <c r="AJ112" s="540"/>
      <c r="AK112" s="103"/>
      <c r="AL112" s="532">
        <f>AL72</f>
        <v>0</v>
      </c>
      <c r="AM112" s="533"/>
      <c r="AN112" s="108">
        <f>AN72</f>
        <v>0</v>
      </c>
      <c r="AO112" s="532"/>
      <c r="AP112" s="540"/>
      <c r="AQ112" s="106">
        <f>AQ72</f>
        <v>0</v>
      </c>
      <c r="AR112" s="107">
        <f>AR72</f>
        <v>0</v>
      </c>
      <c r="AS112" s="76" t="s">
        <v>42</v>
      </c>
      <c r="AT112" s="62">
        <f t="shared" si="19"/>
        <v>0</v>
      </c>
      <c r="AU112" s="41">
        <f t="shared" si="19"/>
        <v>0</v>
      </c>
      <c r="AV112" s="71">
        <f t="shared" si="19"/>
        <v>0</v>
      </c>
    </row>
  </sheetData>
  <sheetProtection/>
  <mergeCells count="266">
    <mergeCell ref="S22:Z23"/>
    <mergeCell ref="S31:Z32"/>
    <mergeCell ref="C5:G5"/>
    <mergeCell ref="C6:G6"/>
    <mergeCell ref="C7:G7"/>
    <mergeCell ref="S13:Z14"/>
    <mergeCell ref="N6:O6"/>
    <mergeCell ref="N7:O7"/>
    <mergeCell ref="N8:O8"/>
    <mergeCell ref="N9:O9"/>
    <mergeCell ref="AO104:AP104"/>
    <mergeCell ref="AO105:AP105"/>
    <mergeCell ref="AL28:AM28"/>
    <mergeCell ref="AI27:AJ27"/>
    <mergeCell ref="AI28:AJ28"/>
    <mergeCell ref="AL32:AM32"/>
    <mergeCell ref="AL84:AM84"/>
    <mergeCell ref="AL51:AM51"/>
    <mergeCell ref="AL56:AM56"/>
    <mergeCell ref="AL60:AM60"/>
    <mergeCell ref="H2:J2"/>
    <mergeCell ref="AL102:AM102"/>
    <mergeCell ref="AL92:AM92"/>
    <mergeCell ref="AL97:AM97"/>
    <mergeCell ref="AI23:AJ23"/>
    <mergeCell ref="AI20:AJ20"/>
    <mergeCell ref="AI16:AJ16"/>
    <mergeCell ref="AI17:AJ17"/>
    <mergeCell ref="AL44:AM44"/>
    <mergeCell ref="AL64:AM64"/>
    <mergeCell ref="AO106:AP106"/>
    <mergeCell ref="AO107:AP107"/>
    <mergeCell ref="AO111:AP111"/>
    <mergeCell ref="AO112:AP112"/>
    <mergeCell ref="AO109:AP109"/>
    <mergeCell ref="AO110:AP110"/>
    <mergeCell ref="AL52:AM52"/>
    <mergeCell ref="AL68:AM68"/>
    <mergeCell ref="AL72:AM72"/>
    <mergeCell ref="AI109:AJ109"/>
    <mergeCell ref="AI99:AJ99"/>
    <mergeCell ref="AI100:AJ100"/>
    <mergeCell ref="AI101:AJ101"/>
    <mergeCell ref="AI102:AJ102"/>
    <mergeCell ref="AI83:AJ83"/>
    <mergeCell ref="AI84:AJ84"/>
    <mergeCell ref="AI110:AJ110"/>
    <mergeCell ref="AI111:AJ111"/>
    <mergeCell ref="AI112:AJ112"/>
    <mergeCell ref="AI104:AJ104"/>
    <mergeCell ref="AI105:AJ105"/>
    <mergeCell ref="AI106:AJ106"/>
    <mergeCell ref="AI107:AJ107"/>
    <mergeCell ref="AO101:AP101"/>
    <mergeCell ref="AO102:AP102"/>
    <mergeCell ref="AI89:AJ89"/>
    <mergeCell ref="AI90:AJ90"/>
    <mergeCell ref="AI91:AJ91"/>
    <mergeCell ref="AI92:AJ92"/>
    <mergeCell ref="AI94:AJ94"/>
    <mergeCell ref="AI95:AJ95"/>
    <mergeCell ref="AI96:AJ96"/>
    <mergeCell ref="AI97:AJ97"/>
    <mergeCell ref="AO96:AP96"/>
    <mergeCell ref="AO97:AP97"/>
    <mergeCell ref="AO99:AP99"/>
    <mergeCell ref="AO100:AP100"/>
    <mergeCell ref="AO91:AP91"/>
    <mergeCell ref="AO92:AP92"/>
    <mergeCell ref="AO94:AP94"/>
    <mergeCell ref="AO95:AP95"/>
    <mergeCell ref="AO83:AP83"/>
    <mergeCell ref="AO84:AP84"/>
    <mergeCell ref="AO89:AP89"/>
    <mergeCell ref="AO90:AP90"/>
    <mergeCell ref="AO79:AP79"/>
    <mergeCell ref="AO80:AP80"/>
    <mergeCell ref="AO81:AP81"/>
    <mergeCell ref="AO82:AP82"/>
    <mergeCell ref="AO75:AP75"/>
    <mergeCell ref="AO76:AP76"/>
    <mergeCell ref="AO77:AP77"/>
    <mergeCell ref="AO78:AP78"/>
    <mergeCell ref="AO71:AP71"/>
    <mergeCell ref="AO72:AP72"/>
    <mergeCell ref="AO73:AP73"/>
    <mergeCell ref="AO74:AP74"/>
    <mergeCell ref="AO67:AP67"/>
    <mergeCell ref="AO68:AP68"/>
    <mergeCell ref="AO69:AP69"/>
    <mergeCell ref="AO70:AP70"/>
    <mergeCell ref="AO63:AP63"/>
    <mergeCell ref="AO64:AP64"/>
    <mergeCell ref="AO65:AP65"/>
    <mergeCell ref="AO66:AP66"/>
    <mergeCell ref="AO55:AP55"/>
    <mergeCell ref="AO56:AP56"/>
    <mergeCell ref="AO57:AP57"/>
    <mergeCell ref="AO58:AP58"/>
    <mergeCell ref="AO59:AP59"/>
    <mergeCell ref="AO60:AP60"/>
    <mergeCell ref="AO61:AP61"/>
    <mergeCell ref="AO62:AP62"/>
    <mergeCell ref="AI79:AJ79"/>
    <mergeCell ref="AI80:AJ80"/>
    <mergeCell ref="AI81:AJ81"/>
    <mergeCell ref="AI82:AJ82"/>
    <mergeCell ref="AI75:AJ75"/>
    <mergeCell ref="AI76:AJ76"/>
    <mergeCell ref="AI77:AJ77"/>
    <mergeCell ref="AI78:AJ78"/>
    <mergeCell ref="AI71:AJ71"/>
    <mergeCell ref="AI72:AJ72"/>
    <mergeCell ref="AI73:AJ73"/>
    <mergeCell ref="AI74:AJ74"/>
    <mergeCell ref="AI67:AJ67"/>
    <mergeCell ref="AI68:AJ68"/>
    <mergeCell ref="AI69:AJ69"/>
    <mergeCell ref="AI70:AJ70"/>
    <mergeCell ref="AI47:AJ47"/>
    <mergeCell ref="AI61:AJ61"/>
    <mergeCell ref="AI62:AJ62"/>
    <mergeCell ref="AI63:AJ63"/>
    <mergeCell ref="AI52:AJ52"/>
    <mergeCell ref="AI53:AJ53"/>
    <mergeCell ref="AI54:AJ54"/>
    <mergeCell ref="AO38:AP38"/>
    <mergeCell ref="AO39:AP39"/>
    <mergeCell ref="AO40:AP40"/>
    <mergeCell ref="AO54:AP54"/>
    <mergeCell ref="AO41:AP41"/>
    <mergeCell ref="AO42:AP42"/>
    <mergeCell ref="AO43:AP43"/>
    <mergeCell ref="AO44:AP44"/>
    <mergeCell ref="AO49:AR49"/>
    <mergeCell ref="AN51:AQ51"/>
    <mergeCell ref="AO34:AP34"/>
    <mergeCell ref="AO35:AP35"/>
    <mergeCell ref="AO36:AP36"/>
    <mergeCell ref="AO37:AP37"/>
    <mergeCell ref="AO30:AP30"/>
    <mergeCell ref="AO31:AP31"/>
    <mergeCell ref="AO32:AP32"/>
    <mergeCell ref="AO33:AP33"/>
    <mergeCell ref="AI44:AJ44"/>
    <mergeCell ref="AO21:AP21"/>
    <mergeCell ref="AO22:AP22"/>
    <mergeCell ref="AO23:AP23"/>
    <mergeCell ref="AO24:AP24"/>
    <mergeCell ref="AO25:AP25"/>
    <mergeCell ref="AO26:AP26"/>
    <mergeCell ref="AO27:AP27"/>
    <mergeCell ref="AO28:AP28"/>
    <mergeCell ref="AO29:AP29"/>
    <mergeCell ref="AI40:AJ40"/>
    <mergeCell ref="AI41:AJ41"/>
    <mergeCell ref="AI42:AJ42"/>
    <mergeCell ref="AI43:AJ43"/>
    <mergeCell ref="AI36:AJ36"/>
    <mergeCell ref="AI37:AJ37"/>
    <mergeCell ref="AI38:AJ38"/>
    <mergeCell ref="AI39:AJ39"/>
    <mergeCell ref="AI32:AJ32"/>
    <mergeCell ref="AI33:AJ33"/>
    <mergeCell ref="AI34:AJ34"/>
    <mergeCell ref="AI35:AJ35"/>
    <mergeCell ref="AL24:AM24"/>
    <mergeCell ref="AI25:AJ25"/>
    <mergeCell ref="AI26:AJ26"/>
    <mergeCell ref="AI31:AJ31"/>
    <mergeCell ref="AI14:AJ14"/>
    <mergeCell ref="AI29:AJ29"/>
    <mergeCell ref="AI30:AJ30"/>
    <mergeCell ref="AI24:AJ24"/>
    <mergeCell ref="AI22:AJ22"/>
    <mergeCell ref="AI15:AJ15"/>
    <mergeCell ref="AL20:AM20"/>
    <mergeCell ref="AI21:AJ21"/>
    <mergeCell ref="AI18:AJ18"/>
    <mergeCell ref="AI19:AJ19"/>
    <mergeCell ref="AL16:AM16"/>
    <mergeCell ref="AO18:AP18"/>
    <mergeCell ref="AO19:AP19"/>
    <mergeCell ref="AO20:AP20"/>
    <mergeCell ref="AO16:AP16"/>
    <mergeCell ref="AO17:AP17"/>
    <mergeCell ref="AO12:AP12"/>
    <mergeCell ref="AO14:AP14"/>
    <mergeCell ref="AO15:AP15"/>
    <mergeCell ref="AT11:AV12"/>
    <mergeCell ref="AF38:AF39"/>
    <mergeCell ref="AF42:AF43"/>
    <mergeCell ref="AS11:AS12"/>
    <mergeCell ref="AH11:AK11"/>
    <mergeCell ref="AS21:AS24"/>
    <mergeCell ref="AS17:AS20"/>
    <mergeCell ref="AE51:AE52"/>
    <mergeCell ref="AF51:AF52"/>
    <mergeCell ref="AH51:AK51"/>
    <mergeCell ref="AF70:AF71"/>
    <mergeCell ref="AI58:AJ58"/>
    <mergeCell ref="AI59:AJ59"/>
    <mergeCell ref="AI60:AJ60"/>
    <mergeCell ref="AI64:AJ64"/>
    <mergeCell ref="AI65:AJ65"/>
    <mergeCell ref="AI66:AJ66"/>
    <mergeCell ref="AT51:AV52"/>
    <mergeCell ref="AF54:AF55"/>
    <mergeCell ref="AF58:AF59"/>
    <mergeCell ref="AF62:AF63"/>
    <mergeCell ref="AI55:AJ55"/>
    <mergeCell ref="AI56:AJ56"/>
    <mergeCell ref="AI57:AJ57"/>
    <mergeCell ref="AS51:AS52"/>
    <mergeCell ref="AO53:AP53"/>
    <mergeCell ref="AO52:AP52"/>
    <mergeCell ref="AF78:AF79"/>
    <mergeCell ref="AF100:AF101"/>
    <mergeCell ref="AF105:AF106"/>
    <mergeCell ref="AF110:AF111"/>
    <mergeCell ref="AF82:AF83"/>
    <mergeCell ref="AO6:AP6"/>
    <mergeCell ref="AN11:AQ11"/>
    <mergeCell ref="AI12:AJ12"/>
    <mergeCell ref="AI13:AJ13"/>
    <mergeCell ref="AI9:AJ9"/>
    <mergeCell ref="AI6:AJ6"/>
    <mergeCell ref="AI7:AJ7"/>
    <mergeCell ref="AI8:AJ8"/>
    <mergeCell ref="AO9:AP9"/>
    <mergeCell ref="AL12:AM12"/>
    <mergeCell ref="C4:G4"/>
    <mergeCell ref="L6:M6"/>
    <mergeCell ref="L7:M7"/>
    <mergeCell ref="L8:M8"/>
    <mergeCell ref="L9:M9"/>
    <mergeCell ref="AE1:AF1"/>
    <mergeCell ref="A3:G3"/>
    <mergeCell ref="AS13:AS16"/>
    <mergeCell ref="AE11:AE12"/>
    <mergeCell ref="AO13:AP13"/>
    <mergeCell ref="AL11:AM11"/>
    <mergeCell ref="AF11:AF12"/>
    <mergeCell ref="AO7:AP7"/>
    <mergeCell ref="AO8:AP8"/>
    <mergeCell ref="J9:K9"/>
    <mergeCell ref="AF66:AF67"/>
    <mergeCell ref="J4:K4"/>
    <mergeCell ref="L4:M4"/>
    <mergeCell ref="N4:O4"/>
    <mergeCell ref="J5:K5"/>
    <mergeCell ref="L5:M5"/>
    <mergeCell ref="N5:O5"/>
    <mergeCell ref="J6:K6"/>
    <mergeCell ref="J7:K7"/>
    <mergeCell ref="J8:K8"/>
    <mergeCell ref="L2:O2"/>
    <mergeCell ref="AL107:AM107"/>
    <mergeCell ref="AL112:AM112"/>
    <mergeCell ref="AI1:AK1"/>
    <mergeCell ref="U3:W3"/>
    <mergeCell ref="X3:Z3"/>
    <mergeCell ref="AA3:AC3"/>
    <mergeCell ref="AI4:AJ4"/>
    <mergeCell ref="AF90:AF91"/>
    <mergeCell ref="AF95:AF96"/>
  </mergeCells>
  <conditionalFormatting sqref="A24">
    <cfRule type="cellIs" priority="1" dxfId="2" operator="equal" stopIfTrue="1">
      <formula>"予算残が２０％以下になっています"</formula>
    </cfRule>
  </conditionalFormatting>
  <conditionalFormatting sqref="S13:Z14 S22:Z23 S31:Z32">
    <cfRule type="cellIs" priority="2" dxfId="2" operator="equal" stopIfTrue="1">
      <formula>"予算残が２０％以下になっています"</formula>
    </cfRule>
    <cfRule type="cellIs" priority="3" dxfId="1" operator="equal" stopIfTrue="1">
      <formula>"予算残が１０％以下になっています"</formula>
    </cfRule>
    <cfRule type="cellIs" priority="4" dxfId="9" operator="equal" stopIfTrue="1">
      <formula>"予算を超えています"</formula>
    </cfRule>
  </conditionalFormatting>
  <dataValidations count="1">
    <dataValidation type="list" allowBlank="1" showInputMessage="1" showErrorMessage="1" sqref="AD5:AD7">
      <formula1>"○,　"</formula1>
    </dataValidation>
  </dataValidations>
  <printOptions horizontalCentered="1" verticalCentered="1"/>
  <pageMargins left="0.78" right="0.57" top="0.54" bottom="0.21" header="0.29" footer="0.21"/>
  <pageSetup blackAndWhite="1" horizontalDpi="600" verticalDpi="600" orientation="portrait" paperSize="9" scale="95" r:id="rId3"/>
  <rowBreaks count="2" manualBreakCount="2">
    <brk id="44" max="255" man="1"/>
    <brk id="84" max="255" man="1"/>
  </rowBreaks>
  <legacyDrawing r:id="rId2"/>
</worksheet>
</file>

<file path=xl/worksheets/sheet5.xml><?xml version="1.0" encoding="utf-8"?>
<worksheet xmlns="http://schemas.openxmlformats.org/spreadsheetml/2006/main" xmlns:r="http://schemas.openxmlformats.org/officeDocument/2006/relationships">
  <dimension ref="B1:F118"/>
  <sheetViews>
    <sheetView zoomScalePageLayoutView="0" workbookViewId="0" topLeftCell="A1">
      <selection activeCell="C13" sqref="C13"/>
    </sheetView>
  </sheetViews>
  <sheetFormatPr defaultColWidth="9.00390625" defaultRowHeight="12.75"/>
  <cols>
    <col min="1" max="4" width="9.125" style="381" customWidth="1"/>
    <col min="5" max="5" width="9.125" style="386" customWidth="1"/>
    <col min="6" max="6" width="16.625" style="381" customWidth="1"/>
    <col min="7" max="16384" width="9.125" style="381" customWidth="1"/>
  </cols>
  <sheetData>
    <row r="1" ht="14.25">
      <c r="B1" s="456" t="s">
        <v>245</v>
      </c>
    </row>
    <row r="2" ht="14.25">
      <c r="B2" s="381" t="s">
        <v>214</v>
      </c>
    </row>
    <row r="3" spans="2:6" ht="14.25">
      <c r="B3" s="380"/>
      <c r="C3" s="380"/>
      <c r="E3" s="382">
        <v>1</v>
      </c>
      <c r="F3" s="387" t="s">
        <v>53</v>
      </c>
    </row>
    <row r="4" spans="2:6" ht="14.25">
      <c r="B4" s="380">
        <v>88000</v>
      </c>
      <c r="C4" s="380">
        <v>3200</v>
      </c>
      <c r="E4" s="383">
        <v>2</v>
      </c>
      <c r="F4" s="388" t="s">
        <v>54</v>
      </c>
    </row>
    <row r="5" spans="2:6" ht="14.25">
      <c r="B5" s="380">
        <v>89000</v>
      </c>
      <c r="C5" s="380">
        <v>3200</v>
      </c>
      <c r="E5" s="383">
        <v>3</v>
      </c>
      <c r="F5" s="388" t="s">
        <v>55</v>
      </c>
    </row>
    <row r="6" spans="2:6" ht="14.25">
      <c r="B6" s="380">
        <v>90000</v>
      </c>
      <c r="C6" s="380">
        <v>3200</v>
      </c>
      <c r="E6" s="383">
        <v>4</v>
      </c>
      <c r="F6" s="388" t="s">
        <v>56</v>
      </c>
    </row>
    <row r="7" spans="2:6" ht="14.25">
      <c r="B7" s="380">
        <v>91000</v>
      </c>
      <c r="C7" s="380">
        <v>3200</v>
      </c>
      <c r="E7" s="383">
        <v>5</v>
      </c>
      <c r="F7" s="388" t="s">
        <v>57</v>
      </c>
    </row>
    <row r="8" spans="2:6" ht="14.25">
      <c r="B8" s="380">
        <v>92000</v>
      </c>
      <c r="C8" s="380">
        <v>3300</v>
      </c>
      <c r="E8" s="383">
        <v>6</v>
      </c>
      <c r="F8" s="388" t="s">
        <v>58</v>
      </c>
    </row>
    <row r="9" spans="2:6" ht="14.25">
      <c r="B9" s="380">
        <v>93000</v>
      </c>
      <c r="C9" s="380">
        <v>3300</v>
      </c>
      <c r="E9" s="383">
        <v>7</v>
      </c>
      <c r="F9" s="388" t="s">
        <v>59</v>
      </c>
    </row>
    <row r="10" spans="2:6" ht="14.25">
      <c r="B10" s="380">
        <v>94000</v>
      </c>
      <c r="C10" s="380">
        <v>3300</v>
      </c>
      <c r="E10" s="383">
        <v>8</v>
      </c>
      <c r="F10" s="388" t="s">
        <v>60</v>
      </c>
    </row>
    <row r="11" spans="2:6" ht="14.25">
      <c r="B11" s="380">
        <v>95000</v>
      </c>
      <c r="C11" s="380">
        <v>3400</v>
      </c>
      <c r="E11" s="383">
        <v>9</v>
      </c>
      <c r="F11" s="388" t="s">
        <v>61</v>
      </c>
    </row>
    <row r="12" spans="2:6" ht="14.25">
      <c r="B12" s="380">
        <v>96000</v>
      </c>
      <c r="C12" s="380">
        <v>3400</v>
      </c>
      <c r="E12" s="383">
        <v>10</v>
      </c>
      <c r="F12" s="388" t="s">
        <v>62</v>
      </c>
    </row>
    <row r="13" spans="2:6" ht="14.25">
      <c r="B13" s="380">
        <v>97000</v>
      </c>
      <c r="C13" s="380">
        <v>3500</v>
      </c>
      <c r="E13" s="383">
        <v>11</v>
      </c>
      <c r="F13" s="388" t="s">
        <v>63</v>
      </c>
    </row>
    <row r="14" spans="2:6" ht="14.25">
      <c r="B14" s="380">
        <v>98000</v>
      </c>
      <c r="C14" s="380">
        <v>3500</v>
      </c>
      <c r="E14" s="383">
        <v>12</v>
      </c>
      <c r="F14" s="388" t="s">
        <v>64</v>
      </c>
    </row>
    <row r="15" spans="2:6" ht="14.25">
      <c r="B15" s="380">
        <v>99000</v>
      </c>
      <c r="C15" s="380">
        <v>3600</v>
      </c>
      <c r="E15" s="383">
        <v>13</v>
      </c>
      <c r="F15" s="388" t="s">
        <v>65</v>
      </c>
    </row>
    <row r="16" spans="2:6" ht="14.25">
      <c r="B16" s="380">
        <v>101000</v>
      </c>
      <c r="C16" s="380">
        <v>3600</v>
      </c>
      <c r="E16" s="383">
        <v>14</v>
      </c>
      <c r="F16" s="388" t="s">
        <v>66</v>
      </c>
    </row>
    <row r="17" spans="2:6" ht="14.25">
      <c r="B17" s="380">
        <v>103000</v>
      </c>
      <c r="C17" s="380">
        <v>3700</v>
      </c>
      <c r="E17" s="383">
        <v>15</v>
      </c>
      <c r="F17" s="388" t="s">
        <v>67</v>
      </c>
    </row>
    <row r="18" spans="2:6" ht="14.25">
      <c r="B18" s="380">
        <v>105000</v>
      </c>
      <c r="C18" s="380">
        <v>3800</v>
      </c>
      <c r="E18" s="383">
        <v>16</v>
      </c>
      <c r="F18" s="388" t="s">
        <v>68</v>
      </c>
    </row>
    <row r="19" spans="2:6" ht="14.25">
      <c r="B19" s="380">
        <v>107000</v>
      </c>
      <c r="C19" s="380">
        <v>3800</v>
      </c>
      <c r="E19" s="383">
        <v>17</v>
      </c>
      <c r="F19" s="388" t="s">
        <v>69</v>
      </c>
    </row>
    <row r="20" spans="2:6" ht="14.25">
      <c r="B20" s="380">
        <v>109000</v>
      </c>
      <c r="C20" s="380">
        <v>3900</v>
      </c>
      <c r="E20" s="383">
        <v>18</v>
      </c>
      <c r="F20" s="388" t="s">
        <v>70</v>
      </c>
    </row>
    <row r="21" spans="2:6" ht="14.25">
      <c r="B21" s="380">
        <v>111000</v>
      </c>
      <c r="C21" s="380">
        <v>4000</v>
      </c>
      <c r="E21" s="383">
        <v>19</v>
      </c>
      <c r="F21" s="388" t="s">
        <v>71</v>
      </c>
    </row>
    <row r="22" spans="2:6" ht="14.25">
      <c r="B22" s="380">
        <v>113000</v>
      </c>
      <c r="C22" s="380">
        <v>4100</v>
      </c>
      <c r="E22" s="383">
        <v>20</v>
      </c>
      <c r="F22" s="388" t="s">
        <v>72</v>
      </c>
    </row>
    <row r="23" spans="2:6" ht="14.25">
      <c r="B23" s="380">
        <v>115000</v>
      </c>
      <c r="C23" s="380">
        <v>4100</v>
      </c>
      <c r="E23" s="383">
        <v>21</v>
      </c>
      <c r="F23" s="388" t="s">
        <v>73</v>
      </c>
    </row>
    <row r="24" spans="2:6" ht="14.25">
      <c r="B24" s="380">
        <v>117000</v>
      </c>
      <c r="C24" s="380">
        <v>4200</v>
      </c>
      <c r="E24" s="383">
        <v>22</v>
      </c>
      <c r="F24" s="388" t="s">
        <v>74</v>
      </c>
    </row>
    <row r="25" spans="2:6" ht="14.25">
      <c r="B25" s="380">
        <v>119000</v>
      </c>
      <c r="C25" s="380">
        <v>4300</v>
      </c>
      <c r="E25" s="383">
        <v>23</v>
      </c>
      <c r="F25" s="388" t="s">
        <v>75</v>
      </c>
    </row>
    <row r="26" spans="2:6" ht="14.25">
      <c r="B26" s="380">
        <v>121000</v>
      </c>
      <c r="C26" s="380">
        <v>4500</v>
      </c>
      <c r="E26" s="383">
        <v>24</v>
      </c>
      <c r="F26" s="388" t="s">
        <v>76</v>
      </c>
    </row>
    <row r="27" spans="2:6" ht="14.25">
      <c r="B27" s="380">
        <v>123000</v>
      </c>
      <c r="C27" s="380">
        <v>4800</v>
      </c>
      <c r="E27" s="383">
        <v>25</v>
      </c>
      <c r="F27" s="388" t="s">
        <v>77</v>
      </c>
    </row>
    <row r="28" spans="2:6" ht="14.25">
      <c r="B28" s="380">
        <v>125000</v>
      </c>
      <c r="C28" s="380">
        <v>5100</v>
      </c>
      <c r="E28" s="383">
        <v>26</v>
      </c>
      <c r="F28" s="388" t="s">
        <v>78</v>
      </c>
    </row>
    <row r="29" spans="2:6" ht="14.25">
      <c r="B29" s="380">
        <v>127000</v>
      </c>
      <c r="C29" s="380">
        <v>5400</v>
      </c>
      <c r="E29" s="383">
        <v>27</v>
      </c>
      <c r="F29" s="388" t="s">
        <v>79</v>
      </c>
    </row>
    <row r="30" spans="2:6" ht="14.25">
      <c r="B30" s="380">
        <v>129000</v>
      </c>
      <c r="C30" s="380">
        <v>5700</v>
      </c>
      <c r="E30" s="383">
        <v>28</v>
      </c>
      <c r="F30" s="388" t="s">
        <v>80</v>
      </c>
    </row>
    <row r="31" spans="2:6" ht="14.25">
      <c r="B31" s="380">
        <v>131000</v>
      </c>
      <c r="C31" s="380">
        <v>6000</v>
      </c>
      <c r="E31" s="383">
        <v>29</v>
      </c>
      <c r="F31" s="388" t="s">
        <v>81</v>
      </c>
    </row>
    <row r="32" spans="2:6" ht="14.25">
      <c r="B32" s="380">
        <v>133000</v>
      </c>
      <c r="C32" s="380">
        <v>6300</v>
      </c>
      <c r="E32" s="383">
        <v>30</v>
      </c>
      <c r="F32" s="388" t="s">
        <v>82</v>
      </c>
    </row>
    <row r="33" spans="2:6" ht="14.25">
      <c r="B33" s="380">
        <v>135000</v>
      </c>
      <c r="C33" s="380">
        <v>6600</v>
      </c>
      <c r="E33" s="383">
        <v>31</v>
      </c>
      <c r="F33" s="388" t="s">
        <v>83</v>
      </c>
    </row>
    <row r="34" spans="2:6" ht="14.25">
      <c r="B34" s="380">
        <v>137000</v>
      </c>
      <c r="C34" s="380">
        <v>6800</v>
      </c>
      <c r="E34" s="383">
        <v>32</v>
      </c>
      <c r="F34" s="388" t="s">
        <v>84</v>
      </c>
    </row>
    <row r="35" spans="2:6" ht="14.25">
      <c r="B35" s="380">
        <v>139000</v>
      </c>
      <c r="C35" s="380">
        <v>7100</v>
      </c>
      <c r="E35" s="383">
        <v>33</v>
      </c>
      <c r="F35" s="388" t="s">
        <v>85</v>
      </c>
    </row>
    <row r="36" spans="2:6" ht="14.25">
      <c r="B36" s="380">
        <v>141000</v>
      </c>
      <c r="C36" s="380">
        <v>7500</v>
      </c>
      <c r="E36" s="383">
        <v>34</v>
      </c>
      <c r="F36" s="388" t="s">
        <v>86</v>
      </c>
    </row>
    <row r="37" spans="2:6" ht="14.25">
      <c r="B37" s="380">
        <v>143000</v>
      </c>
      <c r="C37" s="380">
        <v>7800</v>
      </c>
      <c r="E37" s="383">
        <v>35</v>
      </c>
      <c r="F37" s="388" t="s">
        <v>87</v>
      </c>
    </row>
    <row r="38" spans="2:6" ht="14.25">
      <c r="B38" s="380">
        <v>145000</v>
      </c>
      <c r="C38" s="380">
        <v>8100</v>
      </c>
      <c r="E38" s="383">
        <v>36</v>
      </c>
      <c r="F38" s="388" t="s">
        <v>88</v>
      </c>
    </row>
    <row r="39" spans="2:6" ht="14.25">
      <c r="B39" s="380">
        <v>147000</v>
      </c>
      <c r="C39" s="380">
        <v>8400</v>
      </c>
      <c r="E39" s="383">
        <v>37</v>
      </c>
      <c r="F39" s="388" t="s">
        <v>89</v>
      </c>
    </row>
    <row r="40" spans="2:6" ht="14.25">
      <c r="B40" s="380">
        <v>149000</v>
      </c>
      <c r="C40" s="380">
        <v>8700</v>
      </c>
      <c r="E40" s="383">
        <v>38</v>
      </c>
      <c r="F40" s="388" t="s">
        <v>90</v>
      </c>
    </row>
    <row r="41" spans="2:6" ht="14.25">
      <c r="B41" s="380">
        <v>151000</v>
      </c>
      <c r="C41" s="380">
        <v>9000</v>
      </c>
      <c r="E41" s="383">
        <v>39</v>
      </c>
      <c r="F41" s="388" t="s">
        <v>91</v>
      </c>
    </row>
    <row r="42" spans="2:6" ht="14.25">
      <c r="B42" s="380">
        <v>153000</v>
      </c>
      <c r="C42" s="380">
        <v>9300</v>
      </c>
      <c r="E42" s="383">
        <v>40</v>
      </c>
      <c r="F42" s="388" t="s">
        <v>92</v>
      </c>
    </row>
    <row r="43" spans="2:6" ht="14.25">
      <c r="B43" s="380">
        <v>155000</v>
      </c>
      <c r="C43" s="380">
        <v>9600</v>
      </c>
      <c r="E43" s="383">
        <v>41</v>
      </c>
      <c r="F43" s="388" t="s">
        <v>93</v>
      </c>
    </row>
    <row r="44" spans="2:6" ht="14.25">
      <c r="B44" s="380">
        <v>157000</v>
      </c>
      <c r="C44" s="380">
        <v>9900</v>
      </c>
      <c r="E44" s="383">
        <v>42</v>
      </c>
      <c r="F44" s="388" t="s">
        <v>94</v>
      </c>
    </row>
    <row r="45" spans="2:6" ht="14.25">
      <c r="B45" s="380">
        <v>159000</v>
      </c>
      <c r="C45" s="380">
        <v>10200</v>
      </c>
      <c r="E45" s="383">
        <v>43</v>
      </c>
      <c r="F45" s="388" t="s">
        <v>95</v>
      </c>
    </row>
    <row r="46" spans="2:6" ht="14.25">
      <c r="B46" s="380">
        <v>161000</v>
      </c>
      <c r="C46" s="380">
        <v>10500</v>
      </c>
      <c r="E46" s="383">
        <v>44</v>
      </c>
      <c r="F46" s="388" t="s">
        <v>96</v>
      </c>
    </row>
    <row r="47" spans="2:6" ht="14.25">
      <c r="B47" s="380">
        <v>163000</v>
      </c>
      <c r="C47" s="380">
        <v>10800</v>
      </c>
      <c r="E47" s="383">
        <v>45</v>
      </c>
      <c r="F47" s="388" t="s">
        <v>97</v>
      </c>
    </row>
    <row r="48" spans="2:6" ht="14.25">
      <c r="B48" s="380">
        <v>165000</v>
      </c>
      <c r="C48" s="380">
        <v>11100</v>
      </c>
      <c r="E48" s="383">
        <v>46</v>
      </c>
      <c r="F48" s="388" t="s">
        <v>98</v>
      </c>
    </row>
    <row r="49" spans="2:6" ht="14.25">
      <c r="B49" s="380">
        <v>167000</v>
      </c>
      <c r="C49" s="380">
        <v>11400</v>
      </c>
      <c r="E49" s="383">
        <v>47</v>
      </c>
      <c r="F49" s="388" t="s">
        <v>99</v>
      </c>
    </row>
    <row r="50" spans="2:6" ht="14.25">
      <c r="B50" s="380">
        <v>169000</v>
      </c>
      <c r="C50" s="380">
        <v>11700</v>
      </c>
      <c r="E50" s="383">
        <v>48</v>
      </c>
      <c r="F50" s="388" t="s">
        <v>100</v>
      </c>
    </row>
    <row r="51" spans="2:6" ht="14.25">
      <c r="B51" s="380">
        <v>171000</v>
      </c>
      <c r="C51" s="380">
        <v>12000</v>
      </c>
      <c r="E51" s="383">
        <v>49</v>
      </c>
      <c r="F51" s="388" t="s">
        <v>101</v>
      </c>
    </row>
    <row r="52" spans="2:6" ht="14.25">
      <c r="B52" s="380">
        <v>173000</v>
      </c>
      <c r="C52" s="380">
        <v>12400</v>
      </c>
      <c r="E52" s="383">
        <v>50</v>
      </c>
      <c r="F52" s="388" t="s">
        <v>102</v>
      </c>
    </row>
    <row r="53" spans="2:6" ht="14.25">
      <c r="B53" s="380">
        <v>175000</v>
      </c>
      <c r="C53" s="380">
        <v>12700</v>
      </c>
      <c r="E53" s="383">
        <v>51</v>
      </c>
      <c r="F53" s="389" t="s">
        <v>103</v>
      </c>
    </row>
    <row r="54" spans="2:6" ht="14.25">
      <c r="B54" s="380">
        <v>177000</v>
      </c>
      <c r="C54" s="380">
        <v>13200</v>
      </c>
      <c r="E54" s="384">
        <v>52</v>
      </c>
      <c r="F54" s="387" t="s">
        <v>104</v>
      </c>
    </row>
    <row r="55" spans="2:6" ht="14.25">
      <c r="B55" s="380">
        <v>179000</v>
      </c>
      <c r="C55" s="380">
        <v>13900</v>
      </c>
      <c r="E55" s="382">
        <v>53</v>
      </c>
      <c r="F55" s="388" t="s">
        <v>105</v>
      </c>
    </row>
    <row r="56" spans="2:6" ht="14.25">
      <c r="B56" s="380">
        <v>181000</v>
      </c>
      <c r="C56" s="380">
        <v>14600</v>
      </c>
      <c r="E56" s="383">
        <v>54</v>
      </c>
      <c r="F56" s="388" t="s">
        <v>106</v>
      </c>
    </row>
    <row r="57" spans="2:6" ht="14.25">
      <c r="B57" s="380">
        <v>183000</v>
      </c>
      <c r="C57" s="380">
        <v>15300</v>
      </c>
      <c r="E57" s="383">
        <v>55</v>
      </c>
      <c r="F57" s="388" t="s">
        <v>107</v>
      </c>
    </row>
    <row r="58" spans="2:6" ht="14.25">
      <c r="B58" s="380">
        <v>185000</v>
      </c>
      <c r="C58" s="380">
        <v>16000</v>
      </c>
      <c r="E58" s="383">
        <v>56</v>
      </c>
      <c r="F58" s="388" t="s">
        <v>108</v>
      </c>
    </row>
    <row r="59" spans="2:6" ht="14.25">
      <c r="B59" s="380">
        <v>187000</v>
      </c>
      <c r="C59" s="380">
        <v>16700</v>
      </c>
      <c r="E59" s="383">
        <v>57</v>
      </c>
      <c r="F59" s="388" t="s">
        <v>109</v>
      </c>
    </row>
    <row r="60" spans="2:6" ht="14.25">
      <c r="B60" s="380">
        <v>189000</v>
      </c>
      <c r="C60" s="380">
        <v>17500</v>
      </c>
      <c r="E60" s="383">
        <v>58</v>
      </c>
      <c r="F60" s="388" t="s">
        <v>110</v>
      </c>
    </row>
    <row r="61" spans="2:6" ht="14.25">
      <c r="B61" s="380">
        <v>191000</v>
      </c>
      <c r="C61" s="380">
        <v>18100</v>
      </c>
      <c r="E61" s="383">
        <v>59</v>
      </c>
      <c r="F61" s="388" t="s">
        <v>111</v>
      </c>
    </row>
    <row r="62" spans="2:6" ht="14.25">
      <c r="B62" s="380">
        <v>193000</v>
      </c>
      <c r="C62" s="380">
        <v>18800</v>
      </c>
      <c r="E62" s="383">
        <v>60</v>
      </c>
      <c r="F62" s="388" t="s">
        <v>112</v>
      </c>
    </row>
    <row r="63" spans="2:6" ht="14.25">
      <c r="B63" s="380">
        <v>195000</v>
      </c>
      <c r="C63" s="380">
        <v>19500</v>
      </c>
      <c r="E63" s="383">
        <v>61</v>
      </c>
      <c r="F63" s="388" t="s">
        <v>113</v>
      </c>
    </row>
    <row r="64" spans="2:6" ht="14.25">
      <c r="B64" s="380">
        <v>197000</v>
      </c>
      <c r="C64" s="380">
        <v>20200</v>
      </c>
      <c r="E64" s="383">
        <v>62</v>
      </c>
      <c r="F64" s="388" t="s">
        <v>114</v>
      </c>
    </row>
    <row r="65" spans="2:6" ht="14.25">
      <c r="B65" s="380">
        <v>199000</v>
      </c>
      <c r="C65" s="380">
        <v>20900</v>
      </c>
      <c r="E65" s="383">
        <v>63</v>
      </c>
      <c r="F65" s="388" t="s">
        <v>115</v>
      </c>
    </row>
    <row r="66" spans="2:6" ht="14.25">
      <c r="B66" s="380">
        <v>201000</v>
      </c>
      <c r="C66" s="380">
        <v>21500</v>
      </c>
      <c r="E66" s="383">
        <v>64</v>
      </c>
      <c r="F66" s="388" t="s">
        <v>116</v>
      </c>
    </row>
    <row r="67" spans="2:6" ht="14.25">
      <c r="B67" s="380">
        <v>203000</v>
      </c>
      <c r="C67" s="380">
        <v>22200</v>
      </c>
      <c r="E67" s="383">
        <v>65</v>
      </c>
      <c r="F67" s="388" t="s">
        <v>117</v>
      </c>
    </row>
    <row r="68" spans="2:6" ht="14.25">
      <c r="B68" s="380">
        <v>205000</v>
      </c>
      <c r="C68" s="380">
        <v>22700</v>
      </c>
      <c r="E68" s="383">
        <v>66</v>
      </c>
      <c r="F68" s="388" t="s">
        <v>118</v>
      </c>
    </row>
    <row r="69" spans="2:6" ht="14.25">
      <c r="B69" s="380">
        <v>207000</v>
      </c>
      <c r="C69" s="380">
        <v>23300</v>
      </c>
      <c r="E69" s="383">
        <v>67</v>
      </c>
      <c r="F69" s="388" t="s">
        <v>119</v>
      </c>
    </row>
    <row r="70" spans="2:6" ht="14.25">
      <c r="B70" s="380">
        <v>209000</v>
      </c>
      <c r="C70" s="380">
        <v>23900</v>
      </c>
      <c r="E70" s="383">
        <v>68</v>
      </c>
      <c r="F70" s="388" t="s">
        <v>120</v>
      </c>
    </row>
    <row r="71" spans="2:6" ht="14.25">
      <c r="B71" s="380">
        <v>211000</v>
      </c>
      <c r="C71" s="380">
        <v>24400</v>
      </c>
      <c r="E71" s="383">
        <v>69</v>
      </c>
      <c r="F71" s="388" t="s">
        <v>121</v>
      </c>
    </row>
    <row r="72" spans="2:6" ht="14.25">
      <c r="B72" s="380">
        <v>213000</v>
      </c>
      <c r="C72" s="380">
        <v>25000</v>
      </c>
      <c r="E72" s="383">
        <v>70</v>
      </c>
      <c r="F72" s="454" t="s">
        <v>244</v>
      </c>
    </row>
    <row r="73" spans="2:6" ht="14.25">
      <c r="B73" s="380">
        <v>215000</v>
      </c>
      <c r="C73" s="380">
        <v>25500</v>
      </c>
      <c r="E73" s="385">
        <v>71</v>
      </c>
      <c r="F73" s="390" t="s">
        <v>122</v>
      </c>
    </row>
    <row r="74" spans="2:5" ht="14.25">
      <c r="B74" s="380">
        <v>217000</v>
      </c>
      <c r="C74" s="380">
        <v>26100</v>
      </c>
      <c r="E74" s="455"/>
    </row>
    <row r="75" spans="2:3" ht="14.25">
      <c r="B75" s="380">
        <v>219000</v>
      </c>
      <c r="C75" s="380">
        <v>26800</v>
      </c>
    </row>
    <row r="76" spans="2:3" ht="14.25">
      <c r="B76" s="380">
        <v>221000</v>
      </c>
      <c r="C76" s="380">
        <v>27400</v>
      </c>
    </row>
    <row r="77" spans="2:3" ht="14.25">
      <c r="B77" s="380">
        <v>224000</v>
      </c>
      <c r="C77" s="380">
        <v>28400</v>
      </c>
    </row>
    <row r="78" spans="2:3" ht="14.25">
      <c r="B78" s="381">
        <v>227000</v>
      </c>
      <c r="C78" s="381">
        <v>29300</v>
      </c>
    </row>
    <row r="79" spans="2:3" ht="14.25">
      <c r="B79" s="381">
        <v>230000</v>
      </c>
      <c r="C79" s="381">
        <v>30300</v>
      </c>
    </row>
    <row r="80" spans="2:3" ht="14.25">
      <c r="B80" s="381">
        <v>233000</v>
      </c>
      <c r="C80" s="381">
        <v>31300</v>
      </c>
    </row>
    <row r="81" spans="2:3" ht="14.25">
      <c r="B81" s="381">
        <v>236000</v>
      </c>
      <c r="C81" s="381">
        <v>32400</v>
      </c>
    </row>
    <row r="82" spans="2:3" ht="14.25">
      <c r="B82" s="381">
        <v>239000</v>
      </c>
      <c r="C82" s="381">
        <v>33400</v>
      </c>
    </row>
    <row r="83" spans="2:3" ht="14.25">
      <c r="B83" s="381">
        <v>242000</v>
      </c>
      <c r="C83" s="381">
        <v>34400</v>
      </c>
    </row>
    <row r="84" spans="2:3" ht="14.25">
      <c r="B84" s="381">
        <v>245000</v>
      </c>
      <c r="C84" s="381">
        <v>35400</v>
      </c>
    </row>
    <row r="85" spans="2:3" ht="14.25">
      <c r="B85" s="381">
        <v>248000</v>
      </c>
      <c r="C85" s="381">
        <v>36400</v>
      </c>
    </row>
    <row r="86" spans="2:3" ht="14.25">
      <c r="B86" s="381">
        <v>251000</v>
      </c>
      <c r="C86" s="381">
        <v>37500</v>
      </c>
    </row>
    <row r="87" spans="2:3" ht="14.25">
      <c r="B87" s="381">
        <v>254000</v>
      </c>
      <c r="C87" s="381">
        <v>38500</v>
      </c>
    </row>
    <row r="88" spans="2:3" ht="14.25">
      <c r="B88" s="381">
        <v>257000</v>
      </c>
      <c r="C88" s="381">
        <v>39400</v>
      </c>
    </row>
    <row r="89" spans="2:3" ht="14.25">
      <c r="B89" s="381">
        <v>260000</v>
      </c>
      <c r="C89" s="381">
        <v>40400</v>
      </c>
    </row>
    <row r="90" spans="2:3" ht="14.25">
      <c r="B90" s="381">
        <v>263000</v>
      </c>
      <c r="C90" s="381">
        <v>41500</v>
      </c>
    </row>
    <row r="91" spans="2:3" ht="14.25">
      <c r="B91" s="381">
        <v>266000</v>
      </c>
      <c r="C91" s="381">
        <v>42500</v>
      </c>
    </row>
    <row r="92" spans="2:3" ht="14.25">
      <c r="B92" s="381">
        <v>269000</v>
      </c>
      <c r="C92" s="381">
        <v>43500</v>
      </c>
    </row>
    <row r="93" spans="2:3" ht="14.25">
      <c r="B93" s="381">
        <v>272000</v>
      </c>
      <c r="C93" s="381">
        <v>44500</v>
      </c>
    </row>
    <row r="94" spans="2:3" ht="14.25">
      <c r="B94" s="381">
        <v>275000</v>
      </c>
      <c r="C94" s="381">
        <v>45500</v>
      </c>
    </row>
    <row r="95" spans="2:3" ht="14.25">
      <c r="B95" s="381">
        <v>278000</v>
      </c>
      <c r="C95" s="381">
        <v>46600</v>
      </c>
    </row>
    <row r="96" spans="2:3" ht="14.25">
      <c r="B96" s="381">
        <v>281000</v>
      </c>
      <c r="C96" s="381">
        <v>47600</v>
      </c>
    </row>
    <row r="97" spans="2:3" ht="14.25">
      <c r="B97" s="381">
        <v>284000</v>
      </c>
      <c r="C97" s="381">
        <v>48600</v>
      </c>
    </row>
    <row r="98" spans="2:3" ht="14.25">
      <c r="B98" s="381">
        <v>287000</v>
      </c>
      <c r="C98" s="381">
        <v>49500</v>
      </c>
    </row>
    <row r="99" spans="2:3" ht="14.25">
      <c r="B99" s="381">
        <v>290000</v>
      </c>
      <c r="C99" s="381">
        <v>50500</v>
      </c>
    </row>
    <row r="100" spans="2:3" ht="14.25">
      <c r="B100" s="381">
        <v>293000</v>
      </c>
      <c r="C100" s="381">
        <v>51600</v>
      </c>
    </row>
    <row r="101" spans="2:3" ht="14.25">
      <c r="B101" s="381">
        <v>296000</v>
      </c>
      <c r="C101" s="381">
        <v>52300</v>
      </c>
    </row>
    <row r="102" spans="2:3" ht="14.25">
      <c r="B102" s="381">
        <v>299000</v>
      </c>
      <c r="C102" s="381">
        <v>52900</v>
      </c>
    </row>
    <row r="103" spans="2:3" ht="14.25">
      <c r="B103" s="381">
        <v>302000</v>
      </c>
      <c r="C103" s="381">
        <v>53500</v>
      </c>
    </row>
    <row r="104" spans="2:3" ht="14.25">
      <c r="B104" s="381">
        <v>305000</v>
      </c>
      <c r="C104" s="381">
        <v>54200</v>
      </c>
    </row>
    <row r="105" spans="2:3" ht="14.25">
      <c r="B105" s="381">
        <v>308000</v>
      </c>
      <c r="C105" s="381">
        <v>54800</v>
      </c>
    </row>
    <row r="106" spans="2:3" ht="14.25">
      <c r="B106" s="381">
        <v>311000</v>
      </c>
      <c r="C106" s="381">
        <v>55400</v>
      </c>
    </row>
    <row r="107" spans="2:3" ht="14.25">
      <c r="B107" s="381">
        <v>314000</v>
      </c>
      <c r="C107" s="381">
        <v>56100</v>
      </c>
    </row>
    <row r="108" spans="2:3" ht="14.25">
      <c r="B108" s="381">
        <v>317000</v>
      </c>
      <c r="C108" s="381">
        <v>56800</v>
      </c>
    </row>
    <row r="109" spans="2:3" ht="14.25">
      <c r="B109" s="381">
        <v>320000</v>
      </c>
      <c r="C109" s="381">
        <v>57700</v>
      </c>
    </row>
    <row r="110" spans="2:3" ht="14.25">
      <c r="B110" s="381">
        <v>323000</v>
      </c>
      <c r="C110" s="381">
        <v>58500</v>
      </c>
    </row>
    <row r="111" spans="2:3" ht="14.25">
      <c r="B111" s="381">
        <v>326000</v>
      </c>
      <c r="C111" s="381">
        <v>59300</v>
      </c>
    </row>
    <row r="112" spans="2:3" ht="14.25">
      <c r="B112" s="381">
        <v>329000</v>
      </c>
      <c r="C112" s="381">
        <v>60200</v>
      </c>
    </row>
    <row r="113" spans="2:3" ht="14.25">
      <c r="B113" s="381">
        <v>332000</v>
      </c>
      <c r="C113" s="381">
        <v>61100</v>
      </c>
    </row>
    <row r="114" spans="2:3" ht="14.25">
      <c r="B114" s="381">
        <v>335000</v>
      </c>
      <c r="C114" s="381">
        <v>62000</v>
      </c>
    </row>
    <row r="115" spans="2:3" ht="14.25">
      <c r="B115" s="381">
        <v>338000</v>
      </c>
      <c r="C115" s="381">
        <v>62900</v>
      </c>
    </row>
    <row r="116" spans="2:3" ht="14.25">
      <c r="B116" s="381">
        <v>341000</v>
      </c>
      <c r="C116" s="381">
        <v>63800</v>
      </c>
    </row>
    <row r="117" spans="2:3" ht="14.25">
      <c r="B117" s="381">
        <v>344000</v>
      </c>
      <c r="C117" s="381">
        <v>64700</v>
      </c>
    </row>
    <row r="118" spans="2:3" ht="14.25">
      <c r="B118" s="381">
        <v>347000</v>
      </c>
      <c r="C118" s="381">
        <v>65800</v>
      </c>
    </row>
  </sheetData>
  <sheetProtection/>
  <printOptions horizontalCentered="1" verticalCentered="1"/>
  <pageMargins left="0.787" right="0.787" top="0.29" bottom="0.31" header="0.2" footer="0.2"/>
  <pageSetup blackAndWhite="1"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E45"/>
  <sheetViews>
    <sheetView zoomScalePageLayoutView="0" workbookViewId="0" topLeftCell="A1">
      <selection activeCell="A46" sqref="A46"/>
    </sheetView>
  </sheetViews>
  <sheetFormatPr defaultColWidth="9.00390625" defaultRowHeight="12.75"/>
  <cols>
    <col min="1" max="4" width="24.375" style="0" customWidth="1"/>
    <col min="5" max="5" width="14.125" style="0" bestFit="1" customWidth="1"/>
  </cols>
  <sheetData>
    <row r="1" spans="1:4" ht="14.25">
      <c r="A1" s="415" t="s">
        <v>217</v>
      </c>
      <c r="B1" s="415"/>
      <c r="C1" s="415"/>
      <c r="D1" s="415"/>
    </row>
    <row r="2" spans="1:4" ht="14.25">
      <c r="A2" s="415"/>
      <c r="B2" s="415"/>
      <c r="C2" s="415"/>
      <c r="D2" s="415"/>
    </row>
    <row r="3" spans="1:4" ht="20.25" customHeight="1">
      <c r="A3" s="640" t="s">
        <v>218</v>
      </c>
      <c r="B3" s="641"/>
      <c r="C3" s="640" t="s">
        <v>219</v>
      </c>
      <c r="D3" s="644"/>
    </row>
    <row r="4" spans="1:4" ht="50.25" customHeight="1">
      <c r="A4" s="642"/>
      <c r="B4" s="643"/>
      <c r="C4" s="416" t="s">
        <v>220</v>
      </c>
      <c r="D4" s="417" t="s">
        <v>221</v>
      </c>
    </row>
    <row r="5" spans="1:4" ht="17.25" customHeight="1">
      <c r="A5" s="645" t="s">
        <v>222</v>
      </c>
      <c r="B5" s="645"/>
      <c r="C5" s="418" t="s">
        <v>223</v>
      </c>
      <c r="D5" s="419" t="s">
        <v>223</v>
      </c>
    </row>
    <row r="6" spans="1:4" ht="14.25">
      <c r="A6" s="646"/>
      <c r="B6" s="646"/>
      <c r="C6" s="420">
        <v>300</v>
      </c>
      <c r="D6" s="421" t="s">
        <v>224</v>
      </c>
    </row>
    <row r="7" spans="1:4" ht="14.25">
      <c r="A7" s="422" t="s">
        <v>225</v>
      </c>
      <c r="B7" s="423" t="s">
        <v>226</v>
      </c>
      <c r="C7" s="424"/>
      <c r="D7" s="423"/>
    </row>
    <row r="8" spans="1:4" ht="14.25">
      <c r="A8" s="425"/>
      <c r="B8" s="426"/>
      <c r="C8" s="427">
        <v>0</v>
      </c>
      <c r="D8" s="426">
        <v>0</v>
      </c>
    </row>
    <row r="9" spans="1:5" ht="14.25">
      <c r="A9" s="425">
        <v>2</v>
      </c>
      <c r="B9" s="426">
        <v>4</v>
      </c>
      <c r="C9" s="427">
        <v>1290</v>
      </c>
      <c r="D9" s="426">
        <v>790</v>
      </c>
      <c r="E9" s="435"/>
    </row>
    <row r="10" spans="1:5" ht="14.25">
      <c r="A10" s="425">
        <v>4</v>
      </c>
      <c r="B10" s="426">
        <v>6</v>
      </c>
      <c r="C10" s="427">
        <v>2280</v>
      </c>
      <c r="D10" s="426">
        <v>1680</v>
      </c>
      <c r="E10" s="435"/>
    </row>
    <row r="11" spans="1:5" ht="14.25">
      <c r="A11" s="425">
        <v>6</v>
      </c>
      <c r="B11" s="426">
        <v>8</v>
      </c>
      <c r="C11" s="427">
        <v>3270</v>
      </c>
      <c r="D11" s="426">
        <v>2370</v>
      </c>
      <c r="E11" s="435"/>
    </row>
    <row r="12" spans="1:5" ht="14.25">
      <c r="A12" s="428">
        <v>8</v>
      </c>
      <c r="B12" s="429">
        <v>10</v>
      </c>
      <c r="C12" s="430">
        <v>4260</v>
      </c>
      <c r="D12" s="429">
        <v>3360</v>
      </c>
      <c r="E12" s="435"/>
    </row>
    <row r="13" spans="1:5" ht="14.25">
      <c r="A13" s="422">
        <v>10</v>
      </c>
      <c r="B13" s="423">
        <v>12</v>
      </c>
      <c r="C13" s="424">
        <v>5250</v>
      </c>
      <c r="D13" s="423">
        <v>4350</v>
      </c>
      <c r="E13" s="435"/>
    </row>
    <row r="14" spans="1:5" ht="14.25">
      <c r="A14" s="425">
        <v>12</v>
      </c>
      <c r="B14" s="426">
        <v>14</v>
      </c>
      <c r="C14" s="427">
        <v>6240</v>
      </c>
      <c r="D14" s="426">
        <v>5540</v>
      </c>
      <c r="E14" s="435"/>
    </row>
    <row r="15" spans="1:5" ht="14.25">
      <c r="A15" s="425">
        <v>14</v>
      </c>
      <c r="B15" s="426">
        <v>16</v>
      </c>
      <c r="C15" s="427">
        <v>7440</v>
      </c>
      <c r="D15" s="426">
        <v>6640</v>
      </c>
      <c r="E15" s="435"/>
    </row>
    <row r="16" spans="1:5" ht="14.25">
      <c r="A16" s="425">
        <v>16</v>
      </c>
      <c r="B16" s="426">
        <v>18</v>
      </c>
      <c r="C16" s="427">
        <v>8430</v>
      </c>
      <c r="D16" s="426">
        <v>7740</v>
      </c>
      <c r="E16" s="435"/>
    </row>
    <row r="17" spans="1:5" ht="14.25">
      <c r="A17" s="428">
        <v>18</v>
      </c>
      <c r="B17" s="429">
        <v>20</v>
      </c>
      <c r="C17" s="430">
        <v>9630</v>
      </c>
      <c r="D17" s="429">
        <v>9140</v>
      </c>
      <c r="E17" s="435"/>
    </row>
    <row r="18" spans="1:5" ht="14.25">
      <c r="A18" s="422">
        <v>20</v>
      </c>
      <c r="B18" s="423">
        <v>22</v>
      </c>
      <c r="C18" s="424">
        <v>10830</v>
      </c>
      <c r="D18" s="423">
        <v>9940</v>
      </c>
      <c r="E18" s="435"/>
    </row>
    <row r="19" spans="1:5" ht="14.25">
      <c r="A19" s="425">
        <v>22</v>
      </c>
      <c r="B19" s="426">
        <v>24</v>
      </c>
      <c r="C19" s="427">
        <v>12030</v>
      </c>
      <c r="D19" s="426">
        <v>11340</v>
      </c>
      <c r="E19" s="435"/>
    </row>
    <row r="20" spans="1:5" ht="14.25">
      <c r="A20" s="425">
        <v>24</v>
      </c>
      <c r="B20" s="426">
        <v>26</v>
      </c>
      <c r="C20" s="427">
        <v>13230</v>
      </c>
      <c r="D20" s="426">
        <v>12440</v>
      </c>
      <c r="E20" s="435"/>
    </row>
    <row r="21" spans="1:5" ht="14.25">
      <c r="A21" s="425">
        <v>26</v>
      </c>
      <c r="B21" s="426">
        <v>28</v>
      </c>
      <c r="C21" s="427">
        <v>14430</v>
      </c>
      <c r="D21" s="426">
        <v>13340</v>
      </c>
      <c r="E21" s="435"/>
    </row>
    <row r="22" spans="1:5" ht="14.25">
      <c r="A22" s="428">
        <v>28</v>
      </c>
      <c r="B22" s="429">
        <v>30</v>
      </c>
      <c r="C22" s="430">
        <v>15630</v>
      </c>
      <c r="D22" s="429">
        <v>14540</v>
      </c>
      <c r="E22" s="435"/>
    </row>
    <row r="23" spans="1:5" ht="14.25">
      <c r="A23" s="422">
        <v>30</v>
      </c>
      <c r="B23" s="423">
        <v>32</v>
      </c>
      <c r="C23" s="424">
        <v>16830</v>
      </c>
      <c r="D23" s="423">
        <v>15740</v>
      </c>
      <c r="E23" s="435"/>
    </row>
    <row r="24" spans="1:5" ht="14.25">
      <c r="A24" s="425">
        <v>32</v>
      </c>
      <c r="B24" s="426">
        <v>34</v>
      </c>
      <c r="C24" s="427">
        <v>18030</v>
      </c>
      <c r="D24" s="426">
        <v>17140</v>
      </c>
      <c r="E24" s="435"/>
    </row>
    <row r="25" spans="1:5" ht="14.25">
      <c r="A25" s="425">
        <v>34</v>
      </c>
      <c r="B25" s="426">
        <v>36</v>
      </c>
      <c r="C25" s="427">
        <v>19230</v>
      </c>
      <c r="D25" s="426">
        <v>18240</v>
      </c>
      <c r="E25" s="435"/>
    </row>
    <row r="26" spans="1:5" ht="14.25">
      <c r="A26" s="425">
        <v>36</v>
      </c>
      <c r="B26" s="426">
        <v>38</v>
      </c>
      <c r="C26" s="427">
        <v>20430</v>
      </c>
      <c r="D26" s="426">
        <v>19140</v>
      </c>
      <c r="E26" s="435"/>
    </row>
    <row r="27" spans="1:5" ht="14.25">
      <c r="A27" s="428">
        <v>38</v>
      </c>
      <c r="B27" s="429">
        <v>40</v>
      </c>
      <c r="C27" s="430">
        <v>21630</v>
      </c>
      <c r="D27" s="429">
        <v>20340</v>
      </c>
      <c r="E27" s="435"/>
    </row>
    <row r="28" spans="1:5" ht="14.25">
      <c r="A28" s="422">
        <v>40</v>
      </c>
      <c r="B28" s="423">
        <v>42</v>
      </c>
      <c r="C28" s="431">
        <v>22830</v>
      </c>
      <c r="D28" s="432"/>
      <c r="E28" s="435"/>
    </row>
    <row r="29" spans="1:5" ht="14.25">
      <c r="A29" s="425">
        <v>42</v>
      </c>
      <c r="B29" s="426">
        <v>44</v>
      </c>
      <c r="C29" s="433">
        <v>24030</v>
      </c>
      <c r="D29" s="432"/>
      <c r="E29" s="435"/>
    </row>
    <row r="30" spans="1:5" ht="14.25">
      <c r="A30" s="425">
        <v>44</v>
      </c>
      <c r="B30" s="426">
        <v>46</v>
      </c>
      <c r="C30" s="433">
        <v>25230</v>
      </c>
      <c r="D30" s="432"/>
      <c r="E30" s="435"/>
    </row>
    <row r="31" spans="1:5" ht="14.25">
      <c r="A31" s="425">
        <v>46</v>
      </c>
      <c r="B31" s="426">
        <v>48</v>
      </c>
      <c r="C31" s="433">
        <v>26430</v>
      </c>
      <c r="D31" s="432"/>
      <c r="E31" s="435"/>
    </row>
    <row r="32" spans="1:5" ht="14.25">
      <c r="A32" s="428">
        <v>48</v>
      </c>
      <c r="B32" s="429">
        <v>50</v>
      </c>
      <c r="C32" s="434">
        <v>27630</v>
      </c>
      <c r="D32" s="432"/>
      <c r="E32" s="435"/>
    </row>
    <row r="33" spans="1:5" ht="14.25">
      <c r="A33" s="422">
        <v>50</v>
      </c>
      <c r="B33" s="423">
        <v>52</v>
      </c>
      <c r="C33" s="431">
        <v>28830</v>
      </c>
      <c r="D33" s="432"/>
      <c r="E33" s="435"/>
    </row>
    <row r="34" spans="1:5" ht="14.25">
      <c r="A34" s="425">
        <v>52</v>
      </c>
      <c r="B34" s="426">
        <v>54</v>
      </c>
      <c r="C34" s="433">
        <v>30030</v>
      </c>
      <c r="D34" s="432"/>
      <c r="E34" s="435"/>
    </row>
    <row r="35" spans="1:5" ht="14.25">
      <c r="A35" s="425">
        <v>54</v>
      </c>
      <c r="B35" s="426">
        <v>56</v>
      </c>
      <c r="C35" s="433">
        <v>31230</v>
      </c>
      <c r="D35" s="432"/>
      <c r="E35" s="435"/>
    </row>
    <row r="36" spans="1:5" ht="14.25">
      <c r="A36" s="425">
        <v>56</v>
      </c>
      <c r="B36" s="426">
        <v>58</v>
      </c>
      <c r="C36" s="433">
        <v>32430</v>
      </c>
      <c r="D36" s="432"/>
      <c r="E36" s="435"/>
    </row>
    <row r="37" spans="1:5" ht="14.25">
      <c r="A37" s="428">
        <v>58</v>
      </c>
      <c r="B37" s="429">
        <v>60</v>
      </c>
      <c r="C37" s="434">
        <v>33630</v>
      </c>
      <c r="D37" s="432"/>
      <c r="E37" s="435"/>
    </row>
    <row r="39" ht="12">
      <c r="A39" t="s">
        <v>227</v>
      </c>
    </row>
    <row r="40" ht="12">
      <c r="A40" t="s">
        <v>228</v>
      </c>
    </row>
    <row r="41" ht="12">
      <c r="A41" t="s">
        <v>229</v>
      </c>
    </row>
    <row r="42" ht="12">
      <c r="A42" t="s">
        <v>230</v>
      </c>
    </row>
    <row r="43" ht="12">
      <c r="A43" t="s">
        <v>231</v>
      </c>
    </row>
    <row r="44" ht="12">
      <c r="A44" t="s">
        <v>232</v>
      </c>
    </row>
    <row r="45" ht="12">
      <c r="A45" t="s">
        <v>268</v>
      </c>
    </row>
  </sheetData>
  <sheetProtection/>
  <mergeCells count="3">
    <mergeCell ref="A3:B4"/>
    <mergeCell ref="C3:D3"/>
    <mergeCell ref="A5:B6"/>
  </mergeCells>
  <printOptions horizontalCentered="1" verticalCentered="1"/>
  <pageMargins left="0.787" right="0.787" top="0.29" bottom="0.31" header="0.2" footer="0.2"/>
  <pageSetup blackAndWhite="1"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2:B13"/>
  <sheetViews>
    <sheetView zoomScale="200" zoomScaleNormal="200" zoomScalePageLayoutView="0" workbookViewId="0" topLeftCell="A1">
      <selection activeCell="B13" sqref="B13"/>
    </sheetView>
  </sheetViews>
  <sheetFormatPr defaultColWidth="9.00390625" defaultRowHeight="12.75"/>
  <cols>
    <col min="1" max="1" width="30.875" style="0" customWidth="1"/>
    <col min="2" max="2" width="11.375" style="0" customWidth="1"/>
  </cols>
  <sheetData>
    <row r="2" ht="12">
      <c r="A2" t="s">
        <v>249</v>
      </c>
    </row>
    <row r="4" ht="12">
      <c r="A4" t="s">
        <v>250</v>
      </c>
    </row>
    <row r="6" spans="1:2" ht="12">
      <c r="A6" s="407" t="s">
        <v>258</v>
      </c>
      <c r="B6" s="407" t="s">
        <v>259</v>
      </c>
    </row>
    <row r="7" spans="1:2" ht="12">
      <c r="A7" s="407" t="s">
        <v>251</v>
      </c>
      <c r="B7" s="407" t="s">
        <v>260</v>
      </c>
    </row>
    <row r="8" spans="1:2" ht="12">
      <c r="A8" s="407" t="s">
        <v>252</v>
      </c>
      <c r="B8" s="407" t="s">
        <v>261</v>
      </c>
    </row>
    <row r="9" spans="1:2" ht="12">
      <c r="A9" s="407" t="s">
        <v>253</v>
      </c>
      <c r="B9" s="407" t="s">
        <v>262</v>
      </c>
    </row>
    <row r="10" spans="1:2" ht="12">
      <c r="A10" s="407" t="s">
        <v>254</v>
      </c>
      <c r="B10" s="407" t="s">
        <v>263</v>
      </c>
    </row>
    <row r="11" spans="1:2" ht="12">
      <c r="A11" s="407" t="s">
        <v>255</v>
      </c>
      <c r="B11" s="407" t="s">
        <v>264</v>
      </c>
    </row>
    <row r="12" spans="1:2" ht="12">
      <c r="A12" s="407" t="s">
        <v>256</v>
      </c>
      <c r="B12" s="407" t="s">
        <v>265</v>
      </c>
    </row>
    <row r="13" spans="1:2" ht="12">
      <c r="A13" s="407" t="s">
        <v>257</v>
      </c>
      <c r="B13" s="407" t="s">
        <v>266</v>
      </c>
    </row>
  </sheetData>
  <sheetProtection/>
  <printOptions horizontalCentered="1" verticalCentered="1"/>
  <pageMargins left="0.7" right="0.7" top="0.75" bottom="0.75" header="0.3" footer="0.3"/>
  <pageSetup blackAndWhite="1"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2018-12-21T01:56:28Z</cp:lastPrinted>
  <dcterms:modified xsi:type="dcterms:W3CDTF">2018-12-21T04:03:31Z</dcterms:modified>
  <cp:category/>
  <cp:version/>
  <cp:contentType/>
  <cp:contentStatus/>
</cp:coreProperties>
</file>